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Sam Skipsey\Documents\GridPP PM\GridPP QR 22Q2\"/>
    </mc:Choice>
  </mc:AlternateContent>
  <xr:revisionPtr revIDLastSave="0" documentId="13_ncr:1_{DCF67757-B13D-4A81-8B15-67D4EDB30757}" xr6:coauthVersionLast="47" xr6:coauthVersionMax="47" xr10:uidLastSave="{00000000-0000-0000-0000-000000000000}"/>
  <bookViews>
    <workbookView xWindow="1065" yWindow="855" windowWidth="21600" windowHeight="11385" firstSheet="1" activeTab="8" xr2:uid="{BABF623B-8BB5-4E9C-B251-3E274FECECA8}"/>
  </bookViews>
  <sheets>
    <sheet name="Map" sheetId="10" r:id="rId1"/>
    <sheet name="Overview" sheetId="2" r:id="rId2"/>
    <sheet name="WP1a" sheetId="4" r:id="rId3"/>
    <sheet name="WP1b" sheetId="1" r:id="rId4"/>
    <sheet name="WP1c" sheetId="6" r:id="rId5"/>
    <sheet name="WP2" sheetId="8" r:id="rId6"/>
    <sheet name="WP3" sheetId="3" r:id="rId7"/>
    <sheet name="WP4" sheetId="7" r:id="rId8"/>
    <sheet name="WP5" sheetId="5" r:id="rId9"/>
    <sheet name="Index" sheetId="9" r:id="rId10"/>
    <sheet name="Milestones&amp;Deliverables" sheetId="11"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3" l="1"/>
  <c r="E8" i="3"/>
  <c r="E6" i="3"/>
  <c r="E31" i="4"/>
  <c r="E30" i="4"/>
  <c r="E29" i="4"/>
  <c r="E28" i="4"/>
  <c r="E27" i="4"/>
  <c r="E26" i="4"/>
  <c r="E25" i="4"/>
  <c r="E24" i="4"/>
  <c r="E23" i="4"/>
  <c r="E22" i="4"/>
  <c r="E21" i="4"/>
  <c r="E20" i="4"/>
  <c r="E19" i="4"/>
  <c r="E18" i="4"/>
  <c r="E17" i="4"/>
  <c r="E16" i="4"/>
  <c r="E15" i="4"/>
  <c r="E14" i="4"/>
  <c r="E13" i="4"/>
  <c r="E12" i="4"/>
  <c r="E11" i="4"/>
  <c r="E10" i="4"/>
  <c r="E9" i="4"/>
  <c r="F23" i="7" l="1"/>
  <c r="AO34" i="10"/>
  <c r="E23" i="10"/>
  <c r="F16" i="7"/>
  <c r="F17" i="7"/>
  <c r="F37" i="1"/>
  <c r="F36" i="1"/>
  <c r="F28" i="8"/>
  <c r="AF12" i="10" l="1"/>
  <c r="AE12" i="10"/>
  <c r="H84" i="11"/>
  <c r="F23" i="3"/>
  <c r="F8" i="11"/>
  <c r="G8" i="11" s="1"/>
  <c r="F20" i="7" l="1"/>
  <c r="F27" i="8"/>
  <c r="F26" i="8"/>
  <c r="F12" i="8"/>
  <c r="F20" i="8"/>
  <c r="F29" i="8"/>
  <c r="F14" i="8"/>
  <c r="F7" i="8"/>
  <c r="F6" i="8"/>
  <c r="F36" i="4" l="1"/>
  <c r="AI11" i="10"/>
  <c r="AH11" i="10"/>
  <c r="AG11" i="10"/>
  <c r="AF11" i="10"/>
  <c r="AE11" i="10"/>
  <c r="AI10" i="10"/>
  <c r="AH10" i="10"/>
  <c r="AG10" i="10"/>
  <c r="AF10" i="10"/>
  <c r="F21" i="7"/>
  <c r="P18" i="2" s="1"/>
  <c r="R18" i="2"/>
  <c r="F24" i="7"/>
  <c r="S18" i="2" s="1"/>
  <c r="T18" i="2"/>
  <c r="F26" i="7"/>
  <c r="U18" i="2" s="1"/>
  <c r="F27" i="7"/>
  <c r="V18" i="2" s="1"/>
  <c r="F28" i="7"/>
  <c r="W18" i="2" s="1"/>
  <c r="F29" i="7"/>
  <c r="Y18" i="2"/>
  <c r="L18" i="2"/>
  <c r="F18" i="7"/>
  <c r="M18" i="2" s="1"/>
  <c r="F19" i="7"/>
  <c r="N18" i="2" s="1"/>
  <c r="X18" i="2"/>
  <c r="Q18" i="2"/>
  <c r="K18" i="2"/>
  <c r="O18" i="2"/>
  <c r="P8" i="2"/>
  <c r="O8" i="2"/>
  <c r="N8" i="2"/>
  <c r="M8" i="2"/>
  <c r="L8" i="2"/>
  <c r="W7" i="2"/>
  <c r="K8" i="2"/>
  <c r="AH16" i="2"/>
  <c r="AG16" i="2"/>
  <c r="AF16" i="2"/>
  <c r="AE16" i="2"/>
  <c r="AD16" i="2"/>
  <c r="AC16" i="2"/>
  <c r="AB16" i="2"/>
  <c r="Z16" i="2"/>
  <c r="Y16" i="2"/>
  <c r="V16" i="2"/>
  <c r="U16" i="2"/>
  <c r="R16" i="2"/>
  <c r="Q16" i="2"/>
  <c r="N16" i="2"/>
  <c r="M16" i="2"/>
  <c r="F7" i="3"/>
  <c r="L7" i="2" s="1"/>
  <c r="F8" i="3"/>
  <c r="M7" i="2" s="1"/>
  <c r="F9" i="3"/>
  <c r="N7" i="2" s="1"/>
  <c r="F10" i="3"/>
  <c r="O7" i="2" s="1"/>
  <c r="F11" i="3"/>
  <c r="P7" i="2" s="1"/>
  <c r="F12" i="3"/>
  <c r="Q7" i="2" s="1"/>
  <c r="F13" i="3"/>
  <c r="R7" i="2" s="1"/>
  <c r="F14" i="3"/>
  <c r="S7" i="2" s="1"/>
  <c r="F38" i="4" l="1"/>
  <c r="AB23" i="10" l="1"/>
  <c r="AA23" i="10"/>
  <c r="F41" i="8"/>
  <c r="AT6" i="2" s="1"/>
  <c r="F42" i="8"/>
  <c r="AU6" i="2" s="1"/>
  <c r="A99" i="11" l="1"/>
  <c r="B99" i="11"/>
  <c r="C99" i="11"/>
  <c r="D99" i="11"/>
  <c r="E99" i="11"/>
  <c r="F99" i="11"/>
  <c r="H99" i="11"/>
  <c r="A100" i="11"/>
  <c r="B100" i="11"/>
  <c r="C100" i="11"/>
  <c r="D100" i="11"/>
  <c r="E100" i="11"/>
  <c r="G100" i="11" s="1"/>
  <c r="F100" i="11"/>
  <c r="H100" i="11"/>
  <c r="A101" i="11"/>
  <c r="B101" i="11"/>
  <c r="C101" i="11"/>
  <c r="D101" i="11"/>
  <c r="E101" i="11"/>
  <c r="F101" i="11"/>
  <c r="G101" i="11" s="1"/>
  <c r="H101" i="11"/>
  <c r="A102" i="11"/>
  <c r="B102" i="11"/>
  <c r="C102" i="11"/>
  <c r="D102" i="11"/>
  <c r="E102" i="11"/>
  <c r="F102" i="11"/>
  <c r="G102" i="11"/>
  <c r="H102" i="11"/>
  <c r="A85" i="11"/>
  <c r="B85" i="11"/>
  <c r="C85" i="11"/>
  <c r="D85" i="11"/>
  <c r="E85" i="11"/>
  <c r="G85" i="11" s="1"/>
  <c r="F85" i="11"/>
  <c r="H85" i="11"/>
  <c r="A86" i="11"/>
  <c r="B86" i="11"/>
  <c r="C86" i="11"/>
  <c r="D86" i="11"/>
  <c r="E86" i="11"/>
  <c r="F86" i="11"/>
  <c r="H86" i="11"/>
  <c r="A87" i="11"/>
  <c r="B87" i="11"/>
  <c r="C87" i="11"/>
  <c r="D87" i="11"/>
  <c r="E87" i="11"/>
  <c r="G87" i="11" s="1"/>
  <c r="F87" i="11"/>
  <c r="H87" i="11"/>
  <c r="A88" i="11"/>
  <c r="B88" i="11"/>
  <c r="C88" i="11"/>
  <c r="D88" i="11"/>
  <c r="E88" i="11"/>
  <c r="F88" i="11"/>
  <c r="H88" i="11"/>
  <c r="A89" i="11"/>
  <c r="B89" i="11"/>
  <c r="C89" i="11"/>
  <c r="D89" i="11"/>
  <c r="E89" i="11"/>
  <c r="F89" i="11"/>
  <c r="G89" i="11" s="1"/>
  <c r="H89" i="11"/>
  <c r="A90" i="11"/>
  <c r="B90" i="11"/>
  <c r="C90" i="11"/>
  <c r="D90" i="11"/>
  <c r="E90" i="11"/>
  <c r="F90" i="11"/>
  <c r="G90" i="11"/>
  <c r="H90" i="11"/>
  <c r="A91" i="11"/>
  <c r="B91" i="11"/>
  <c r="C91" i="11"/>
  <c r="D91" i="11"/>
  <c r="E91" i="11"/>
  <c r="F91" i="11"/>
  <c r="H91" i="11"/>
  <c r="A92" i="11"/>
  <c r="B92" i="11"/>
  <c r="C92" i="11"/>
  <c r="D92" i="11"/>
  <c r="E92" i="11"/>
  <c r="F92" i="11"/>
  <c r="G92" i="11" s="1"/>
  <c r="H92" i="11"/>
  <c r="A93" i="11"/>
  <c r="B93" i="11"/>
  <c r="C93" i="11"/>
  <c r="D93" i="11"/>
  <c r="E93" i="11"/>
  <c r="F93" i="11"/>
  <c r="G93" i="11"/>
  <c r="H93" i="11"/>
  <c r="A94" i="11"/>
  <c r="B94" i="11"/>
  <c r="C94" i="11"/>
  <c r="D94" i="11"/>
  <c r="E94" i="11"/>
  <c r="F94" i="11"/>
  <c r="H94" i="11"/>
  <c r="A95" i="11"/>
  <c r="B95" i="11"/>
  <c r="C95" i="11"/>
  <c r="D95" i="11"/>
  <c r="E95" i="11"/>
  <c r="F95" i="11"/>
  <c r="G95" i="11" s="1"/>
  <c r="H95" i="11"/>
  <c r="A96" i="11"/>
  <c r="B96" i="11"/>
  <c r="C96" i="11"/>
  <c r="D96" i="11"/>
  <c r="E96" i="11"/>
  <c r="G96" i="11" s="1"/>
  <c r="F96" i="11"/>
  <c r="H96" i="11"/>
  <c r="A97" i="11"/>
  <c r="B97" i="11"/>
  <c r="C97" i="11"/>
  <c r="D97" i="11"/>
  <c r="E97" i="11"/>
  <c r="F97" i="11"/>
  <c r="H97" i="11"/>
  <c r="A98" i="11"/>
  <c r="B98" i="11"/>
  <c r="C98" i="11"/>
  <c r="D98" i="11"/>
  <c r="E98" i="11"/>
  <c r="F98" i="11"/>
  <c r="G98" i="11" s="1"/>
  <c r="H98" i="11"/>
  <c r="F84" i="11"/>
  <c r="G84" i="11" s="1"/>
  <c r="E84" i="11"/>
  <c r="D84" i="11"/>
  <c r="C84" i="11"/>
  <c r="B84" i="11"/>
  <c r="A84" i="11"/>
  <c r="A70" i="11"/>
  <c r="B70" i="11"/>
  <c r="C70" i="11"/>
  <c r="D70" i="11"/>
  <c r="E70" i="11"/>
  <c r="F70" i="11"/>
  <c r="G70" i="11"/>
  <c r="H70" i="11"/>
  <c r="A71" i="11"/>
  <c r="B71" i="11"/>
  <c r="C71" i="11"/>
  <c r="D71" i="11"/>
  <c r="E71" i="11"/>
  <c r="F71" i="11"/>
  <c r="G71" i="11"/>
  <c r="H71" i="11"/>
  <c r="A72" i="11"/>
  <c r="B72" i="11"/>
  <c r="C72" i="11"/>
  <c r="D72" i="11"/>
  <c r="E72" i="11"/>
  <c r="F72" i="11"/>
  <c r="G72" i="11"/>
  <c r="H72" i="11"/>
  <c r="A73" i="11"/>
  <c r="B73" i="11"/>
  <c r="C73" i="11"/>
  <c r="D73" i="11"/>
  <c r="E73" i="11"/>
  <c r="F73" i="11"/>
  <c r="G73" i="11"/>
  <c r="H73" i="11"/>
  <c r="A74" i="11"/>
  <c r="B74" i="11"/>
  <c r="C74" i="11"/>
  <c r="D74" i="11"/>
  <c r="E74" i="11"/>
  <c r="F74" i="11"/>
  <c r="G74" i="11"/>
  <c r="H74" i="11"/>
  <c r="A75" i="11"/>
  <c r="B75" i="11"/>
  <c r="C75" i="11"/>
  <c r="D75" i="11"/>
  <c r="E75" i="11"/>
  <c r="F75" i="11"/>
  <c r="G75" i="11"/>
  <c r="H75" i="11"/>
  <c r="A76" i="11"/>
  <c r="B76" i="11"/>
  <c r="C76" i="11"/>
  <c r="D76" i="11"/>
  <c r="E76" i="11"/>
  <c r="F76" i="11"/>
  <c r="G76" i="11"/>
  <c r="H76" i="11"/>
  <c r="A77" i="11"/>
  <c r="B77" i="11"/>
  <c r="C77" i="11"/>
  <c r="D77" i="11"/>
  <c r="E77" i="11"/>
  <c r="F77" i="11"/>
  <c r="G77" i="11"/>
  <c r="H77" i="11"/>
  <c r="A78" i="11"/>
  <c r="B78" i="11"/>
  <c r="C78" i="11"/>
  <c r="D78" i="11"/>
  <c r="E78" i="11"/>
  <c r="F78" i="11"/>
  <c r="G78" i="11"/>
  <c r="H78" i="11"/>
  <c r="A79" i="11"/>
  <c r="B79" i="11"/>
  <c r="C79" i="11"/>
  <c r="D79" i="11"/>
  <c r="E79" i="11"/>
  <c r="F79" i="11"/>
  <c r="G79" i="11"/>
  <c r="H79" i="11"/>
  <c r="A80" i="11"/>
  <c r="B80" i="11"/>
  <c r="C80" i="11"/>
  <c r="D80" i="11"/>
  <c r="E80" i="11"/>
  <c r="F80" i="11"/>
  <c r="G80" i="11"/>
  <c r="H80" i="11"/>
  <c r="A81" i="11"/>
  <c r="B81" i="11"/>
  <c r="C81" i="11"/>
  <c r="D81" i="11"/>
  <c r="E81" i="11"/>
  <c r="F81" i="11"/>
  <c r="G81" i="11"/>
  <c r="H81" i="11"/>
  <c r="A82" i="11"/>
  <c r="B82" i="11"/>
  <c r="C82" i="11"/>
  <c r="D82" i="11"/>
  <c r="E82" i="11"/>
  <c r="F82" i="11"/>
  <c r="G82" i="11"/>
  <c r="H82" i="11"/>
  <c r="A83" i="11"/>
  <c r="B83" i="11"/>
  <c r="C83" i="11"/>
  <c r="D83" i="11"/>
  <c r="E83" i="11"/>
  <c r="F83" i="11"/>
  <c r="G83" i="11"/>
  <c r="H69" i="11"/>
  <c r="F69" i="11"/>
  <c r="E69" i="11"/>
  <c r="D69" i="11"/>
  <c r="C69" i="11"/>
  <c r="B69" i="11"/>
  <c r="A69" i="11"/>
  <c r="A64" i="11"/>
  <c r="B64" i="11"/>
  <c r="C64" i="11"/>
  <c r="D64" i="11"/>
  <c r="E64" i="11"/>
  <c r="F64" i="11"/>
  <c r="G64" i="11"/>
  <c r="H64" i="11"/>
  <c r="A65" i="11"/>
  <c r="B65" i="11"/>
  <c r="C65" i="11"/>
  <c r="D65" i="11"/>
  <c r="E65" i="11"/>
  <c r="F65" i="11"/>
  <c r="G65" i="11"/>
  <c r="H65" i="11"/>
  <c r="A66" i="11"/>
  <c r="B66" i="11"/>
  <c r="C66" i="11"/>
  <c r="D66" i="11"/>
  <c r="E66" i="11"/>
  <c r="F66" i="11"/>
  <c r="G66" i="11"/>
  <c r="H66" i="11"/>
  <c r="A67" i="11"/>
  <c r="B67" i="11"/>
  <c r="C67" i="11"/>
  <c r="D67" i="11"/>
  <c r="E67" i="11"/>
  <c r="F67" i="11"/>
  <c r="G67" i="11"/>
  <c r="H67" i="11"/>
  <c r="A68" i="11"/>
  <c r="B68" i="11"/>
  <c r="C68" i="11"/>
  <c r="D68" i="11"/>
  <c r="E68" i="11"/>
  <c r="F68" i="11"/>
  <c r="G68" i="11"/>
  <c r="H68" i="11"/>
  <c r="G69" i="11"/>
  <c r="H63" i="11"/>
  <c r="F63" i="11"/>
  <c r="E63" i="11"/>
  <c r="D63" i="11"/>
  <c r="C63" i="11"/>
  <c r="B63" i="11"/>
  <c r="A63" i="11"/>
  <c r="G63" i="11"/>
  <c r="A62" i="11"/>
  <c r="B62" i="11"/>
  <c r="C62" i="11"/>
  <c r="D62" i="11"/>
  <c r="E62" i="11"/>
  <c r="F62" i="11"/>
  <c r="G62" i="11"/>
  <c r="H62" i="11"/>
  <c r="A59" i="11"/>
  <c r="B59" i="11"/>
  <c r="C59" i="11"/>
  <c r="D59" i="11"/>
  <c r="E59" i="11"/>
  <c r="F59" i="11"/>
  <c r="G59" i="11"/>
  <c r="H59" i="11"/>
  <c r="A60" i="11"/>
  <c r="B60" i="11"/>
  <c r="C60" i="11"/>
  <c r="D60" i="11"/>
  <c r="E60" i="11"/>
  <c r="F60" i="11"/>
  <c r="G60" i="11"/>
  <c r="H60" i="11"/>
  <c r="A61" i="11"/>
  <c r="B61" i="11"/>
  <c r="C61" i="11"/>
  <c r="D61" i="11"/>
  <c r="E61" i="11"/>
  <c r="F61" i="11"/>
  <c r="G61" i="11"/>
  <c r="H61" i="11"/>
  <c r="A53" i="11"/>
  <c r="B53" i="11"/>
  <c r="C53" i="11"/>
  <c r="D53" i="11"/>
  <c r="E53" i="11"/>
  <c r="F53" i="11"/>
  <c r="G53" i="11"/>
  <c r="H53" i="11"/>
  <c r="A54" i="11"/>
  <c r="B54" i="11"/>
  <c r="C54" i="11"/>
  <c r="D54" i="11"/>
  <c r="E54" i="11"/>
  <c r="F54" i="11"/>
  <c r="G54" i="11"/>
  <c r="H54" i="11"/>
  <c r="A55" i="11"/>
  <c r="B55" i="11"/>
  <c r="C55" i="11"/>
  <c r="D55" i="11"/>
  <c r="E55" i="11"/>
  <c r="F55" i="11"/>
  <c r="G55" i="11"/>
  <c r="H55" i="11"/>
  <c r="A56" i="11"/>
  <c r="B56" i="11"/>
  <c r="C56" i="11"/>
  <c r="D56" i="11"/>
  <c r="E56" i="11"/>
  <c r="F56" i="11"/>
  <c r="G56" i="11"/>
  <c r="H56" i="11"/>
  <c r="A57" i="11"/>
  <c r="B57" i="11"/>
  <c r="C57" i="11"/>
  <c r="D57" i="11"/>
  <c r="E57" i="11"/>
  <c r="F57" i="11"/>
  <c r="G57" i="11"/>
  <c r="H57" i="11"/>
  <c r="A58" i="11"/>
  <c r="B58" i="11"/>
  <c r="C58" i="11"/>
  <c r="D58" i="11"/>
  <c r="E58" i="11"/>
  <c r="F58" i="11"/>
  <c r="G58" i="11"/>
  <c r="H58" i="11"/>
  <c r="A48" i="11"/>
  <c r="B48" i="11"/>
  <c r="C48" i="11"/>
  <c r="D48" i="11"/>
  <c r="E48" i="11"/>
  <c r="F48" i="11"/>
  <c r="G48" i="11"/>
  <c r="H48" i="11"/>
  <c r="A49" i="11"/>
  <c r="B49" i="11"/>
  <c r="C49" i="11"/>
  <c r="D49" i="11"/>
  <c r="E49" i="11"/>
  <c r="F49" i="11"/>
  <c r="G49" i="11"/>
  <c r="H49" i="11"/>
  <c r="A50" i="11"/>
  <c r="B50" i="11"/>
  <c r="C50" i="11"/>
  <c r="D50" i="11"/>
  <c r="E50" i="11"/>
  <c r="F50" i="11"/>
  <c r="G50" i="11"/>
  <c r="H50" i="11"/>
  <c r="A51" i="11"/>
  <c r="B51" i="11"/>
  <c r="C51" i="11"/>
  <c r="D51" i="11"/>
  <c r="E51" i="11"/>
  <c r="F51" i="11"/>
  <c r="G51" i="11"/>
  <c r="H51" i="11"/>
  <c r="A52" i="11"/>
  <c r="B52" i="11"/>
  <c r="C52" i="11"/>
  <c r="D52" i="11"/>
  <c r="E52" i="11"/>
  <c r="F52" i="11"/>
  <c r="G52" i="11"/>
  <c r="H52" i="11"/>
  <c r="A40" i="11"/>
  <c r="B40" i="11"/>
  <c r="C40" i="11"/>
  <c r="D40" i="11"/>
  <c r="E40" i="11"/>
  <c r="F40" i="11"/>
  <c r="G40" i="11"/>
  <c r="H40" i="11"/>
  <c r="A41" i="11"/>
  <c r="B41" i="11"/>
  <c r="C41" i="11"/>
  <c r="D41" i="11"/>
  <c r="E41" i="11"/>
  <c r="F41" i="11"/>
  <c r="G41" i="11"/>
  <c r="H41" i="11"/>
  <c r="A42" i="11"/>
  <c r="B42" i="11"/>
  <c r="C42" i="11"/>
  <c r="D42" i="11"/>
  <c r="E42" i="11"/>
  <c r="F42" i="11"/>
  <c r="G42" i="11"/>
  <c r="H42" i="11"/>
  <c r="A43" i="11"/>
  <c r="B43" i="11"/>
  <c r="C43" i="11"/>
  <c r="D43" i="11"/>
  <c r="E43" i="11"/>
  <c r="F43" i="11"/>
  <c r="G43" i="11"/>
  <c r="H43" i="11"/>
  <c r="A44" i="11"/>
  <c r="B44" i="11"/>
  <c r="C44" i="11"/>
  <c r="D44" i="11"/>
  <c r="E44" i="11"/>
  <c r="F44" i="11"/>
  <c r="G44" i="11"/>
  <c r="H44" i="11"/>
  <c r="A45" i="11"/>
  <c r="B45" i="11"/>
  <c r="C45" i="11"/>
  <c r="D45" i="11"/>
  <c r="E45" i="11"/>
  <c r="F45" i="11"/>
  <c r="G45" i="11"/>
  <c r="H45" i="11"/>
  <c r="A46" i="11"/>
  <c r="B46" i="11"/>
  <c r="C46" i="11"/>
  <c r="D46" i="11"/>
  <c r="E46" i="11"/>
  <c r="F46" i="11"/>
  <c r="G46" i="11"/>
  <c r="H46" i="11"/>
  <c r="A47" i="11"/>
  <c r="B47" i="11"/>
  <c r="C47" i="11"/>
  <c r="D47" i="11"/>
  <c r="E47" i="11"/>
  <c r="F47" i="11"/>
  <c r="G47" i="11"/>
  <c r="H47" i="11"/>
  <c r="H39" i="11"/>
  <c r="F39" i="11"/>
  <c r="E39" i="11"/>
  <c r="D39" i="11"/>
  <c r="C39" i="11"/>
  <c r="B39" i="11"/>
  <c r="A39" i="11"/>
  <c r="A33" i="11"/>
  <c r="B33" i="11"/>
  <c r="C33" i="11"/>
  <c r="D33" i="11"/>
  <c r="E33" i="11"/>
  <c r="F33" i="11"/>
  <c r="G33" i="11"/>
  <c r="H33" i="11"/>
  <c r="A34" i="11"/>
  <c r="B34" i="11"/>
  <c r="C34" i="11"/>
  <c r="D34" i="11"/>
  <c r="E34" i="11"/>
  <c r="F34" i="11"/>
  <c r="G34" i="11"/>
  <c r="H34" i="11"/>
  <c r="A35" i="11"/>
  <c r="B35" i="11"/>
  <c r="C35" i="11"/>
  <c r="D35" i="11"/>
  <c r="E35" i="11"/>
  <c r="F35" i="11"/>
  <c r="G35" i="11"/>
  <c r="H35" i="11"/>
  <c r="A36" i="11"/>
  <c r="B36" i="11"/>
  <c r="C36" i="11"/>
  <c r="D36" i="11"/>
  <c r="E36" i="11"/>
  <c r="F36" i="11"/>
  <c r="G36" i="11"/>
  <c r="H36" i="11"/>
  <c r="A37" i="11"/>
  <c r="B37" i="11"/>
  <c r="C37" i="11"/>
  <c r="D37" i="11"/>
  <c r="E37" i="11"/>
  <c r="F37" i="11"/>
  <c r="G37" i="11"/>
  <c r="H37" i="11"/>
  <c r="A38" i="11"/>
  <c r="B38" i="11"/>
  <c r="C38" i="11"/>
  <c r="D38" i="11"/>
  <c r="E38" i="11"/>
  <c r="F38" i="11"/>
  <c r="G38" i="11"/>
  <c r="H38" i="11"/>
  <c r="H32" i="11"/>
  <c r="F32" i="11"/>
  <c r="E32" i="11"/>
  <c r="D32" i="11"/>
  <c r="C32" i="11"/>
  <c r="B32" i="11"/>
  <c r="A32" i="11"/>
  <c r="D23" i="11"/>
  <c r="D24" i="11"/>
  <c r="D25" i="11"/>
  <c r="D26" i="11"/>
  <c r="D27" i="11"/>
  <c r="D28" i="11"/>
  <c r="D29" i="11"/>
  <c r="D30" i="11"/>
  <c r="D31" i="11"/>
  <c r="D22" i="11"/>
  <c r="A31" i="11"/>
  <c r="B31" i="11"/>
  <c r="C31" i="11"/>
  <c r="E31" i="11"/>
  <c r="F31" i="11"/>
  <c r="G31" i="11"/>
  <c r="H31" i="11"/>
  <c r="A23" i="11"/>
  <c r="B23" i="11"/>
  <c r="C23" i="11"/>
  <c r="E23" i="11"/>
  <c r="F23" i="11"/>
  <c r="G23" i="11"/>
  <c r="H23" i="11"/>
  <c r="A24" i="11"/>
  <c r="B24" i="11"/>
  <c r="C24" i="11"/>
  <c r="E24" i="11"/>
  <c r="F24" i="11"/>
  <c r="G24" i="11"/>
  <c r="H24" i="11"/>
  <c r="A25" i="11"/>
  <c r="B25" i="11"/>
  <c r="C25" i="11"/>
  <c r="E25" i="11"/>
  <c r="F25" i="11"/>
  <c r="G25" i="11"/>
  <c r="H25" i="11"/>
  <c r="A26" i="11"/>
  <c r="B26" i="11"/>
  <c r="C26" i="11"/>
  <c r="E26" i="11"/>
  <c r="F26" i="11"/>
  <c r="G26" i="11"/>
  <c r="H26" i="11"/>
  <c r="A27" i="11"/>
  <c r="B27" i="11"/>
  <c r="C27" i="11"/>
  <c r="E27" i="11"/>
  <c r="F27" i="11"/>
  <c r="G27" i="11"/>
  <c r="H27" i="11"/>
  <c r="A28" i="11"/>
  <c r="B28" i="11"/>
  <c r="C28" i="11"/>
  <c r="E28" i="11"/>
  <c r="F28" i="11"/>
  <c r="G28" i="11"/>
  <c r="H28" i="11"/>
  <c r="A29" i="11"/>
  <c r="B29" i="11"/>
  <c r="C29" i="11"/>
  <c r="E29" i="11"/>
  <c r="F29" i="11"/>
  <c r="G29" i="11"/>
  <c r="H29" i="11"/>
  <c r="A30" i="11"/>
  <c r="B30" i="11"/>
  <c r="C30" i="11"/>
  <c r="E30" i="11"/>
  <c r="F30" i="11"/>
  <c r="G30" i="11"/>
  <c r="H30" i="11"/>
  <c r="H22" i="11"/>
  <c r="F22" i="11"/>
  <c r="E22" i="11"/>
  <c r="C22" i="11"/>
  <c r="B22" i="11"/>
  <c r="A22" i="11"/>
  <c r="H21" i="11"/>
  <c r="F21" i="11"/>
  <c r="E21" i="11"/>
  <c r="D21" i="11"/>
  <c r="C21" i="11"/>
  <c r="B21" i="11"/>
  <c r="A21" i="11"/>
  <c r="H20" i="11"/>
  <c r="F20" i="11"/>
  <c r="E20" i="11"/>
  <c r="D20" i="11"/>
  <c r="C20" i="11"/>
  <c r="B20" i="11"/>
  <c r="A20" i="11"/>
  <c r="H19" i="11"/>
  <c r="F19" i="11"/>
  <c r="E19" i="11"/>
  <c r="D19" i="11"/>
  <c r="C19" i="11"/>
  <c r="B19" i="11"/>
  <c r="A19" i="11"/>
  <c r="H18" i="11"/>
  <c r="F18" i="11"/>
  <c r="E18" i="11"/>
  <c r="D18" i="11"/>
  <c r="C18" i="11"/>
  <c r="B18" i="11"/>
  <c r="A18" i="11"/>
  <c r="H17" i="11"/>
  <c r="F17" i="11"/>
  <c r="E17" i="11"/>
  <c r="D17" i="11"/>
  <c r="C17" i="11"/>
  <c r="B17" i="11"/>
  <c r="A17" i="11"/>
  <c r="H16" i="11"/>
  <c r="F16" i="11"/>
  <c r="E16" i="11"/>
  <c r="D16" i="11"/>
  <c r="C16" i="11"/>
  <c r="B16" i="11"/>
  <c r="A16" i="11"/>
  <c r="H15" i="11"/>
  <c r="F15" i="11"/>
  <c r="E15" i="11"/>
  <c r="D15" i="11"/>
  <c r="C15" i="11"/>
  <c r="B15" i="11"/>
  <c r="A15" i="11"/>
  <c r="H14" i="11"/>
  <c r="F14" i="11"/>
  <c r="E14" i="11"/>
  <c r="D14" i="11"/>
  <c r="C14" i="11"/>
  <c r="B14" i="11"/>
  <c r="A14" i="11"/>
  <c r="H13" i="11"/>
  <c r="F13" i="11"/>
  <c r="E13" i="11"/>
  <c r="D13" i="11"/>
  <c r="C13" i="11"/>
  <c r="B13" i="11"/>
  <c r="A13" i="11"/>
  <c r="H12" i="11"/>
  <c r="F12" i="11"/>
  <c r="E12" i="11"/>
  <c r="D12" i="11"/>
  <c r="C12" i="11"/>
  <c r="B12" i="11"/>
  <c r="A12" i="11"/>
  <c r="H11" i="11"/>
  <c r="F11" i="11"/>
  <c r="E11" i="11"/>
  <c r="D11" i="11"/>
  <c r="C11" i="11"/>
  <c r="B11" i="11"/>
  <c r="A11" i="11"/>
  <c r="H10" i="11"/>
  <c r="F10" i="11"/>
  <c r="E10" i="11"/>
  <c r="D10" i="11"/>
  <c r="C10" i="11"/>
  <c r="B10" i="11"/>
  <c r="A10" i="11"/>
  <c r="H9" i="11"/>
  <c r="F9" i="11"/>
  <c r="E9" i="11"/>
  <c r="D9" i="11"/>
  <c r="C9" i="11"/>
  <c r="B9" i="11"/>
  <c r="A9" i="11"/>
  <c r="H8" i="11"/>
  <c r="E8" i="11"/>
  <c r="D8" i="11"/>
  <c r="C8" i="11"/>
  <c r="B8" i="11"/>
  <c r="A8" i="11"/>
  <c r="H7" i="11"/>
  <c r="F7" i="11"/>
  <c r="E7" i="11"/>
  <c r="D7" i="11"/>
  <c r="C7" i="11"/>
  <c r="B7" i="11"/>
  <c r="A7" i="11"/>
  <c r="H6" i="11"/>
  <c r="F6" i="11"/>
  <c r="E6" i="11"/>
  <c r="D6" i="11"/>
  <c r="C6" i="11"/>
  <c r="B6" i="11"/>
  <c r="A6" i="11"/>
  <c r="H5" i="11"/>
  <c r="F5" i="11"/>
  <c r="E5" i="11"/>
  <c r="D5" i="11"/>
  <c r="C5" i="11"/>
  <c r="B5" i="11"/>
  <c r="A5" i="11"/>
  <c r="H4" i="11"/>
  <c r="F4" i="11"/>
  <c r="E4" i="11"/>
  <c r="D4" i="11"/>
  <c r="C4" i="11"/>
  <c r="B4" i="11"/>
  <c r="A4" i="11"/>
  <c r="G88" i="11" l="1"/>
  <c r="G91" i="11"/>
  <c r="G86" i="11"/>
  <c r="G99" i="11"/>
  <c r="G94" i="11"/>
  <c r="G97" i="11"/>
  <c r="G39" i="11"/>
  <c r="G32" i="11"/>
  <c r="G22" i="11"/>
  <c r="G4" i="11"/>
  <c r="G5" i="11"/>
  <c r="G6" i="11"/>
  <c r="G7" i="11"/>
  <c r="G9" i="11"/>
  <c r="G10" i="11"/>
  <c r="G11" i="11"/>
  <c r="G12" i="11"/>
  <c r="G13" i="11"/>
  <c r="G14" i="11"/>
  <c r="G15" i="11"/>
  <c r="G16" i="11"/>
  <c r="G17" i="11"/>
  <c r="G18" i="11"/>
  <c r="G19" i="11"/>
  <c r="G20" i="11"/>
  <c r="G21" i="11"/>
  <c r="AE40" i="10" l="1"/>
  <c r="AI39" i="10"/>
  <c r="AH39" i="10"/>
  <c r="AG39" i="10"/>
  <c r="AF39" i="10"/>
  <c r="AE39" i="10"/>
  <c r="AI36" i="10"/>
  <c r="AH36" i="10"/>
  <c r="AG36" i="10"/>
  <c r="AF36" i="10"/>
  <c r="AE36" i="10"/>
  <c r="AH33" i="10"/>
  <c r="AG33" i="10"/>
  <c r="AF33" i="10"/>
  <c r="AE33" i="10"/>
  <c r="AE29" i="10"/>
  <c r="AI28" i="10"/>
  <c r="AH28" i="10"/>
  <c r="AG28" i="10"/>
  <c r="AF28" i="10"/>
  <c r="AE28" i="10"/>
  <c r="C11" i="10" l="1"/>
  <c r="D11" i="10"/>
  <c r="E11" i="10"/>
  <c r="F11" i="10"/>
  <c r="G11" i="10"/>
  <c r="J11" i="10"/>
  <c r="K11" i="10"/>
  <c r="L11" i="10"/>
  <c r="Q11" i="10"/>
  <c r="R11" i="10"/>
  <c r="S11" i="10"/>
  <c r="T11" i="10"/>
  <c r="U11" i="10"/>
  <c r="X11" i="10"/>
  <c r="Y11" i="10"/>
  <c r="Z11" i="10"/>
  <c r="AA11" i="10"/>
  <c r="AQ10" i="10"/>
  <c r="AP10" i="10"/>
  <c r="S9" i="2"/>
  <c r="R9" i="2"/>
  <c r="AQ40" i="10"/>
  <c r="AP40" i="10"/>
  <c r="AO40" i="10"/>
  <c r="AN40" i="10"/>
  <c r="AM40" i="10"/>
  <c r="AP37" i="10"/>
  <c r="AO37" i="10"/>
  <c r="AN37" i="10"/>
  <c r="AM37" i="10"/>
  <c r="AQ34" i="10"/>
  <c r="AP34" i="10"/>
  <c r="AN34" i="10"/>
  <c r="AM34" i="10"/>
  <c r="AQ33" i="10"/>
  <c r="AP33" i="10"/>
  <c r="AO33" i="10"/>
  <c r="AN33" i="10"/>
  <c r="AM33" i="10"/>
  <c r="AP13" i="10"/>
  <c r="AO13" i="10"/>
  <c r="AN13" i="10"/>
  <c r="AM13" i="10"/>
  <c r="AO10" i="10"/>
  <c r="AN10" i="10"/>
  <c r="AM10" i="10"/>
  <c r="AE20" i="10"/>
  <c r="AI19" i="10"/>
  <c r="AH19" i="10"/>
  <c r="AG19" i="10"/>
  <c r="AF19" i="10"/>
  <c r="AE19" i="10"/>
  <c r="AF15" i="10"/>
  <c r="AE15" i="10"/>
  <c r="AE10" i="10"/>
  <c r="AA44" i="10"/>
  <c r="Z44" i="10"/>
  <c r="Y44" i="10"/>
  <c r="X44" i="10"/>
  <c r="AA41" i="10"/>
  <c r="Z41" i="10"/>
  <c r="Y41" i="10"/>
  <c r="X41" i="10"/>
  <c r="Y38" i="10"/>
  <c r="X38" i="10"/>
  <c r="AB37" i="10"/>
  <c r="AA37" i="10"/>
  <c r="Z37" i="10"/>
  <c r="Y37" i="10"/>
  <c r="X37" i="10"/>
  <c r="AB36" i="10"/>
  <c r="AA36" i="10"/>
  <c r="Z36" i="10"/>
  <c r="Y36" i="10"/>
  <c r="X36" i="10"/>
  <c r="AA33" i="10"/>
  <c r="Z33" i="10"/>
  <c r="Y33" i="10"/>
  <c r="X33" i="10"/>
  <c r="X27" i="10"/>
  <c r="AB26" i="10"/>
  <c r="AA26" i="10"/>
  <c r="Z26" i="10"/>
  <c r="Y26" i="10"/>
  <c r="X26" i="10"/>
  <c r="Z23" i="10"/>
  <c r="Y23" i="10"/>
  <c r="X23" i="10"/>
  <c r="Z20" i="10"/>
  <c r="Y20" i="10"/>
  <c r="X20" i="10"/>
  <c r="AB19" i="10"/>
  <c r="AA19" i="10"/>
  <c r="Z19" i="10"/>
  <c r="Y19" i="10"/>
  <c r="X19" i="10"/>
  <c r="AB16" i="10"/>
  <c r="AA16" i="10"/>
  <c r="Z16" i="10"/>
  <c r="Y16" i="10"/>
  <c r="X16" i="10"/>
  <c r="AB15" i="10"/>
  <c r="AA15" i="10"/>
  <c r="Z15" i="10"/>
  <c r="Y15" i="10"/>
  <c r="X15" i="10"/>
  <c r="AB14" i="10"/>
  <c r="AA14" i="10"/>
  <c r="Z14" i="10"/>
  <c r="Y14" i="10"/>
  <c r="X14" i="10"/>
  <c r="AB10" i="10"/>
  <c r="AA10" i="10"/>
  <c r="Z10" i="10"/>
  <c r="Y10" i="10"/>
  <c r="X10" i="10"/>
  <c r="R34" i="10"/>
  <c r="Q34" i="10"/>
  <c r="U33" i="10"/>
  <c r="T33" i="10"/>
  <c r="S33" i="10"/>
  <c r="R33" i="10"/>
  <c r="Q33" i="10"/>
  <c r="Q26" i="10"/>
  <c r="R22" i="10"/>
  <c r="Q22" i="10"/>
  <c r="R17" i="10"/>
  <c r="Q17" i="10"/>
  <c r="U10" i="10"/>
  <c r="T10" i="10"/>
  <c r="S10" i="10"/>
  <c r="R10" i="10"/>
  <c r="Q10" i="10"/>
  <c r="J37" i="10"/>
  <c r="N36" i="10"/>
  <c r="M36" i="10"/>
  <c r="L36" i="10"/>
  <c r="K36" i="10"/>
  <c r="J36" i="10"/>
  <c r="M33" i="10"/>
  <c r="L33" i="10"/>
  <c r="K33" i="10"/>
  <c r="J33" i="10"/>
  <c r="M22" i="10"/>
  <c r="L22" i="10"/>
  <c r="K22" i="10"/>
  <c r="J22" i="10"/>
  <c r="L18" i="10"/>
  <c r="K18" i="10"/>
  <c r="N17" i="10"/>
  <c r="M17" i="10"/>
  <c r="L17" i="10"/>
  <c r="K17" i="10"/>
  <c r="J17" i="10"/>
  <c r="N10" i="10"/>
  <c r="M10" i="10"/>
  <c r="L10" i="10"/>
  <c r="K10" i="10"/>
  <c r="J10" i="10"/>
  <c r="J18" i="10"/>
  <c r="C39" i="10" l="1"/>
  <c r="G38" i="10"/>
  <c r="F38" i="10"/>
  <c r="E38" i="10"/>
  <c r="D38" i="10"/>
  <c r="C38" i="10"/>
  <c r="G37" i="10"/>
  <c r="F37" i="10"/>
  <c r="E37" i="10"/>
  <c r="D37" i="10"/>
  <c r="C37" i="10"/>
  <c r="G36" i="10"/>
  <c r="F36" i="10"/>
  <c r="E36" i="10"/>
  <c r="C36" i="10"/>
  <c r="D33" i="10"/>
  <c r="C33" i="10"/>
  <c r="D36" i="10"/>
  <c r="D26" i="10"/>
  <c r="C26" i="10"/>
  <c r="F23" i="10"/>
  <c r="D23" i="10"/>
  <c r="C23" i="10"/>
  <c r="G22" i="10"/>
  <c r="F22" i="10"/>
  <c r="E22" i="10"/>
  <c r="D22" i="10"/>
  <c r="C22" i="10"/>
  <c r="F17" i="10"/>
  <c r="E17" i="10"/>
  <c r="D17" i="10"/>
  <c r="C17" i="10"/>
  <c r="E10" i="10"/>
  <c r="D10" i="10"/>
  <c r="C10" i="10"/>
  <c r="E13" i="10"/>
  <c r="D13" i="10"/>
  <c r="C13" i="10"/>
  <c r="G12" i="10"/>
  <c r="F12" i="10"/>
  <c r="E12" i="10"/>
  <c r="D12" i="10"/>
  <c r="C12" i="10"/>
  <c r="G10" i="10"/>
  <c r="F10" i="10"/>
  <c r="F8" i="8" l="1"/>
  <c r="F9" i="8"/>
  <c r="F10" i="8"/>
  <c r="F11" i="8"/>
  <c r="F13" i="8"/>
  <c r="F17" i="8"/>
  <c r="F19" i="8"/>
  <c r="F21" i="8"/>
  <c r="F23" i="8"/>
  <c r="F24" i="8"/>
  <c r="F25" i="8"/>
  <c r="F30" i="8"/>
  <c r="F31" i="8"/>
  <c r="F32" i="8"/>
  <c r="F33" i="8"/>
  <c r="F34" i="8"/>
  <c r="F35" i="8"/>
  <c r="F36" i="8"/>
  <c r="F37" i="8"/>
  <c r="F38" i="8"/>
  <c r="F39" i="8"/>
  <c r="F40" i="8"/>
  <c r="AS6" i="2" s="1"/>
  <c r="F43" i="8"/>
  <c r="AV6" i="2" s="1"/>
  <c r="F44" i="8"/>
  <c r="AW6" i="2" s="1"/>
  <c r="F45" i="8"/>
  <c r="AX6" i="2" s="1"/>
  <c r="F46" i="8"/>
  <c r="AY6" i="2" s="1"/>
  <c r="F47" i="8"/>
  <c r="AZ6" i="2" s="1"/>
  <c r="F48" i="8"/>
  <c r="BA6" i="2" s="1"/>
  <c r="F49" i="8"/>
  <c r="F50" i="8"/>
  <c r="F7" i="5"/>
  <c r="F8" i="5"/>
  <c r="F9" i="5"/>
  <c r="F10" i="5"/>
  <c r="F11" i="5"/>
  <c r="F6" i="5"/>
  <c r="F15" i="3"/>
  <c r="T7" i="2" s="1"/>
  <c r="F16" i="3"/>
  <c r="U7" i="2" s="1"/>
  <c r="F17" i="3"/>
  <c r="V7" i="2" s="1"/>
  <c r="F6" i="3"/>
  <c r="F20" i="6"/>
  <c r="F7" i="6"/>
  <c r="F8" i="6"/>
  <c r="F9" i="6"/>
  <c r="F10" i="6"/>
  <c r="F11" i="6"/>
  <c r="F12" i="6"/>
  <c r="F13" i="6"/>
  <c r="F14" i="6"/>
  <c r="F15" i="6"/>
  <c r="F16" i="6"/>
  <c r="F17" i="6"/>
  <c r="F18" i="6"/>
  <c r="F6" i="6"/>
  <c r="F7" i="1"/>
  <c r="F8" i="1"/>
  <c r="F9" i="1"/>
  <c r="F10" i="1"/>
  <c r="F11" i="1"/>
  <c r="F12" i="1"/>
  <c r="F13" i="1"/>
  <c r="F14" i="1"/>
  <c r="F15" i="1"/>
  <c r="F16" i="1"/>
  <c r="F17" i="1"/>
  <c r="F18" i="1"/>
  <c r="F19" i="1"/>
  <c r="F20" i="1"/>
  <c r="F21" i="1"/>
  <c r="F22" i="1"/>
  <c r="F23" i="1"/>
  <c r="F24" i="1"/>
  <c r="F25" i="1"/>
  <c r="F6" i="1"/>
  <c r="F7" i="4" l="1"/>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AO3" i="2"/>
  <c r="F37" i="4"/>
  <c r="AP3" i="2" s="1"/>
  <c r="AQ3" i="2"/>
  <c r="F6" i="4"/>
  <c r="AQ6" i="2" l="1"/>
  <c r="AP6" i="2"/>
  <c r="AO6" i="2"/>
  <c r="AN6" i="2"/>
  <c r="AM6" i="2"/>
  <c r="AL6" i="2"/>
  <c r="AK6" i="2"/>
  <c r="AJ6" i="2"/>
  <c r="AI6" i="2"/>
  <c r="AH6" i="2"/>
  <c r="AG6" i="2"/>
  <c r="AF6" i="2"/>
  <c r="AE6" i="2"/>
  <c r="AC6" i="2"/>
  <c r="AB6" i="2"/>
  <c r="AA6" i="2"/>
  <c r="Z6" i="2"/>
  <c r="Y6" i="2"/>
  <c r="X6" i="2"/>
  <c r="W6" i="2"/>
  <c r="V6" i="2"/>
  <c r="U6" i="2"/>
  <c r="T6" i="2"/>
  <c r="R6" i="2"/>
  <c r="Q6" i="2"/>
  <c r="P6" i="2"/>
  <c r="O6" i="2"/>
  <c r="N6" i="2"/>
  <c r="M6" i="2"/>
  <c r="L6" i="2"/>
  <c r="AD6" i="2"/>
  <c r="F73" i="8"/>
  <c r="F72" i="8"/>
  <c r="F71" i="8"/>
  <c r="AA16" i="2" s="1"/>
  <c r="F70" i="8"/>
  <c r="F75" i="8"/>
  <c r="F78" i="8"/>
  <c r="F77" i="8"/>
  <c r="F76" i="8"/>
  <c r="F69" i="8"/>
  <c r="F68" i="8"/>
  <c r="X16" i="2" s="1"/>
  <c r="F67" i="8"/>
  <c r="W16" i="2" s="1"/>
  <c r="F66" i="8"/>
  <c r="F65" i="8"/>
  <c r="F64" i="8"/>
  <c r="T16" i="2" s="1"/>
  <c r="F63" i="8"/>
  <c r="S16" i="2" s="1"/>
  <c r="F62" i="8"/>
  <c r="F61" i="8"/>
  <c r="F60" i="8"/>
  <c r="P16" i="2" s="1"/>
  <c r="F59" i="8"/>
  <c r="O16" i="2" s="1"/>
  <c r="F58" i="8"/>
  <c r="F57" i="8"/>
  <c r="F56" i="8"/>
  <c r="L16" i="2" s="1"/>
  <c r="F55" i="8"/>
  <c r="K16" i="2" s="1"/>
  <c r="AR6" i="2"/>
  <c r="S6" i="2"/>
  <c r="K6" i="2"/>
  <c r="K13" i="2"/>
  <c r="AN3" i="2"/>
  <c r="AM3" i="2"/>
  <c r="AL3" i="2"/>
  <c r="AK3" i="2"/>
  <c r="AJ3" i="2"/>
  <c r="AI3" i="2"/>
  <c r="AH3" i="2"/>
  <c r="AG3" i="2"/>
  <c r="AF3" i="2"/>
  <c r="AE3" i="2"/>
  <c r="AD3" i="2"/>
  <c r="AC3" i="2"/>
  <c r="AB3" i="2"/>
  <c r="AA3" i="2"/>
  <c r="Z3" i="2"/>
  <c r="Y3" i="2"/>
  <c r="X3" i="2"/>
  <c r="W3" i="2"/>
  <c r="V3" i="2"/>
  <c r="U3" i="2"/>
  <c r="T3" i="2"/>
  <c r="S3" i="2"/>
  <c r="R3" i="2"/>
  <c r="Q3" i="2"/>
  <c r="P3" i="2"/>
  <c r="O3" i="2"/>
  <c r="N3" i="2"/>
  <c r="M3" i="2"/>
  <c r="L3" i="2"/>
  <c r="K3" i="2"/>
  <c r="F53" i="4"/>
  <c r="U13" i="2" s="1"/>
  <c r="F54" i="4"/>
  <c r="V13" i="2" s="1"/>
  <c r="F55" i="4"/>
  <c r="W13" i="2" s="1"/>
  <c r="F56" i="4"/>
  <c r="X13" i="2" s="1"/>
  <c r="F57" i="4"/>
  <c r="Y13" i="2" s="1"/>
  <c r="F58" i="4"/>
  <c r="Z13" i="2" s="1"/>
  <c r="F59" i="4"/>
  <c r="AA13" i="2" s="1"/>
  <c r="F60" i="4"/>
  <c r="AB13" i="2" s="1"/>
  <c r="Q15" i="2"/>
  <c r="P15" i="2"/>
  <c r="N15" i="2"/>
  <c r="M15" i="2"/>
  <c r="Y5" i="2" l="1"/>
  <c r="X5" i="2"/>
  <c r="W5" i="2"/>
  <c r="V5" i="2"/>
  <c r="U5" i="2"/>
  <c r="T5" i="2"/>
  <c r="S5" i="2"/>
  <c r="R5" i="2"/>
  <c r="Q5" i="2"/>
  <c r="P5" i="2"/>
  <c r="O5" i="2"/>
  <c r="N5" i="2"/>
  <c r="M5" i="2"/>
  <c r="L5" i="2"/>
  <c r="F19" i="6"/>
  <c r="F31" i="6"/>
  <c r="F30" i="6"/>
  <c r="F29" i="6"/>
  <c r="O15" i="2" s="1"/>
  <c r="F28" i="6"/>
  <c r="F27" i="6"/>
  <c r="F26" i="6"/>
  <c r="L15" i="2" s="1"/>
  <c r="F25" i="6"/>
  <c r="K15" i="2" s="1"/>
  <c r="K5" i="2"/>
  <c r="P9" i="2"/>
  <c r="O9" i="2"/>
  <c r="N9" i="2"/>
  <c r="M9" i="2"/>
  <c r="L9" i="2"/>
  <c r="F29" i="5" l="1"/>
  <c r="U19" i="2" s="1"/>
  <c r="F30" i="5"/>
  <c r="V19" i="2" s="1"/>
  <c r="F31" i="5"/>
  <c r="W19" i="2" s="1"/>
  <c r="F32" i="5"/>
  <c r="X19" i="2" s="1"/>
  <c r="F33" i="5"/>
  <c r="Y19" i="2" s="1"/>
  <c r="F34" i="5"/>
  <c r="Z19" i="2" s="1"/>
  <c r="F35" i="5"/>
  <c r="AA19" i="2" s="1"/>
  <c r="F36" i="5"/>
  <c r="AB19" i="2" s="1"/>
  <c r="F37" i="5"/>
  <c r="AC19" i="2" s="1"/>
  <c r="F28" i="5" l="1"/>
  <c r="T19" i="2" s="1"/>
  <c r="F27" i="5"/>
  <c r="S19" i="2" s="1"/>
  <c r="F26" i="5"/>
  <c r="R19" i="2" s="1"/>
  <c r="F25" i="5"/>
  <c r="Q19" i="2" s="1"/>
  <c r="F24" i="5"/>
  <c r="P19" i="2" s="1"/>
  <c r="F23" i="5"/>
  <c r="O19" i="2" s="1"/>
  <c r="F22" i="5"/>
  <c r="N19" i="2" s="1"/>
  <c r="F21" i="5"/>
  <c r="M19" i="2" s="1"/>
  <c r="F20" i="5"/>
  <c r="L19" i="2" s="1"/>
  <c r="F19" i="5"/>
  <c r="K19" i="2" s="1"/>
  <c r="Q9" i="2"/>
  <c r="K9" i="2"/>
  <c r="F52" i="4"/>
  <c r="T13" i="2" s="1"/>
  <c r="F51" i="4"/>
  <c r="S13" i="2" s="1"/>
  <c r="F50" i="4"/>
  <c r="R13" i="2" s="1"/>
  <c r="F49" i="4"/>
  <c r="Q13" i="2" s="1"/>
  <c r="F48" i="4"/>
  <c r="P13" i="2" s="1"/>
  <c r="O13" i="2"/>
  <c r="F46" i="4"/>
  <c r="N13" i="2" s="1"/>
  <c r="F45" i="4"/>
  <c r="M13" i="2" s="1"/>
  <c r="F44" i="4"/>
  <c r="L13" i="2" s="1"/>
  <c r="F43" i="4"/>
  <c r="F28" i="3" l="1"/>
  <c r="P17" i="2" s="1"/>
  <c r="F18" i="3"/>
  <c r="F27" i="3"/>
  <c r="O17" i="2" s="1"/>
  <c r="F26" i="3"/>
  <c r="N17" i="2" s="1"/>
  <c r="F25" i="3"/>
  <c r="M17" i="2" s="1"/>
  <c r="F24" i="3"/>
  <c r="L17" i="2" s="1"/>
  <c r="K17" i="2"/>
  <c r="K7" i="2"/>
  <c r="F32" i="1" l="1"/>
  <c r="M14" i="2" s="1"/>
  <c r="F33" i="1"/>
  <c r="N14" i="2" s="1"/>
  <c r="F34" i="1"/>
  <c r="O14" i="2" s="1"/>
  <c r="F35" i="1"/>
  <c r="P14" i="2" s="1"/>
  <c r="Q14" i="2"/>
  <c r="R14" i="2"/>
  <c r="F38" i="1"/>
  <c r="S14" i="2" s="1"/>
  <c r="F39" i="1"/>
  <c r="T14" i="2" s="1"/>
  <c r="F31" i="1"/>
  <c r="L14" i="2" s="1"/>
  <c r="F30" i="1"/>
  <c r="K14" i="2" s="1"/>
  <c r="H17" i="2" l="1"/>
  <c r="H16" i="2"/>
  <c r="H15" i="2"/>
  <c r="H14" i="2"/>
  <c r="L4" i="2"/>
  <c r="M4" i="2"/>
  <c r="N4" i="2"/>
  <c r="O4" i="2"/>
  <c r="P4" i="2"/>
  <c r="Q4" i="2"/>
  <c r="R4" i="2"/>
  <c r="S4" i="2"/>
  <c r="T4" i="2"/>
  <c r="U4" i="2"/>
  <c r="V4" i="2"/>
  <c r="W4" i="2"/>
  <c r="X4" i="2"/>
  <c r="Y4" i="2"/>
  <c r="Z4" i="2"/>
  <c r="AA4" i="2"/>
  <c r="AB4" i="2"/>
  <c r="AC4" i="2"/>
  <c r="AD4" i="2"/>
  <c r="K4" i="2" l="1"/>
  <c r="H24" i="2" l="1"/>
  <c r="H23" i="2"/>
  <c r="H22" i="2"/>
  <c r="H7" i="2"/>
  <c r="H6" i="2"/>
  <c r="H5" i="2"/>
  <c r="H4" i="2"/>
  <c r="H8" i="2" l="1"/>
</calcChain>
</file>

<file path=xl/sharedStrings.xml><?xml version="1.0" encoding="utf-8"?>
<sst xmlns="http://schemas.openxmlformats.org/spreadsheetml/2006/main" count="1758" uniqueCount="482">
  <si>
    <t>GridPP 6 - Project Map</t>
  </si>
  <si>
    <t>WP1a: Tier-1 Operations</t>
  </si>
  <si>
    <t>WP1b: Tier-2 Operations</t>
  </si>
  <si>
    <t>WP1c: UK Operations</t>
  </si>
  <si>
    <t>WP2: Experiment Support</t>
  </si>
  <si>
    <t>WP3: Federal Responsabilities</t>
  </si>
  <si>
    <t>WP5: Management</t>
  </si>
  <si>
    <t>Metrics</t>
  </si>
  <si>
    <t>Pledge &amp; Allocation</t>
  </si>
  <si>
    <t>ATLAS</t>
  </si>
  <si>
    <t>WLCG</t>
  </si>
  <si>
    <t>Management</t>
  </si>
  <si>
    <t>Reporting</t>
  </si>
  <si>
    <t>CMS</t>
  </si>
  <si>
    <t>Security</t>
  </si>
  <si>
    <t>Availability &amp; Reliability</t>
  </si>
  <si>
    <t>Milestones</t>
  </si>
  <si>
    <t>LHCb</t>
  </si>
  <si>
    <t>Service Provision</t>
  </si>
  <si>
    <t>ALICE</t>
  </si>
  <si>
    <t>WP4: Essential Development</t>
  </si>
  <si>
    <t>Resource &amp; Security</t>
  </si>
  <si>
    <t>Other</t>
  </si>
  <si>
    <t>Review Projects</t>
  </si>
  <si>
    <t>Tier-1 Review</t>
  </si>
  <si>
    <t>Tape Service</t>
  </si>
  <si>
    <t>Planning</t>
  </si>
  <si>
    <t>Hardware Procurement</t>
  </si>
  <si>
    <t>Networking</t>
  </si>
  <si>
    <t>Database &amp; Data Lakes</t>
  </si>
  <si>
    <t>Review</t>
  </si>
  <si>
    <t>Key - Metrics</t>
  </si>
  <si>
    <t>Key - Milestones</t>
  </si>
  <si>
    <t>Metric OK</t>
  </si>
  <si>
    <t>Milestone Achieved</t>
  </si>
  <si>
    <t>Metric Close to Target</t>
  </si>
  <si>
    <t>Milestone Ongoing</t>
  </si>
  <si>
    <t>Metric not OK</t>
  </si>
  <si>
    <t>Milestone Overdue</t>
  </si>
  <si>
    <t>Metric with no Target</t>
  </si>
  <si>
    <t>Milestone not Due</t>
  </si>
  <si>
    <t>Year</t>
  </si>
  <si>
    <t>Metric</t>
  </si>
  <si>
    <t>Quarter</t>
  </si>
  <si>
    <t>Colour</t>
  </si>
  <si>
    <t>Description</t>
  </si>
  <si>
    <t>Code</t>
  </si>
  <si>
    <t>#</t>
  </si>
  <si>
    <t>WP1a</t>
  </si>
  <si>
    <t>MOK</t>
  </si>
  <si>
    <t>WP1b</t>
  </si>
  <si>
    <t>Metric Clost to Target</t>
  </si>
  <si>
    <t>MCT</t>
  </si>
  <si>
    <t>WP1c</t>
  </si>
  <si>
    <t>MFL</t>
  </si>
  <si>
    <t>WP2</t>
  </si>
  <si>
    <t>MNO</t>
  </si>
  <si>
    <t>WP3</t>
  </si>
  <si>
    <t>WP4</t>
  </si>
  <si>
    <t>WP5</t>
  </si>
  <si>
    <t>Milestone</t>
  </si>
  <si>
    <t>MSA</t>
  </si>
  <si>
    <t>MOG</t>
  </si>
  <si>
    <t>MOD</t>
  </si>
  <si>
    <t>Milestone not due</t>
  </si>
  <si>
    <t>MSU</t>
  </si>
  <si>
    <t>Key - Other</t>
  </si>
  <si>
    <t>Suspended</t>
  </si>
  <si>
    <t>SUS</t>
  </si>
  <si>
    <t>Awaiting Input</t>
  </si>
  <si>
    <t>AWI</t>
  </si>
  <si>
    <t>No Metric/Milestone</t>
  </si>
  <si>
    <t>-</t>
  </si>
  <si>
    <t>Workpackage</t>
  </si>
  <si>
    <t>1a</t>
  </si>
  <si>
    <t>Title</t>
  </si>
  <si>
    <t>Tier-1 Operations</t>
  </si>
  <si>
    <t>ID</t>
  </si>
  <si>
    <t>Target</t>
  </si>
  <si>
    <t>Margin</t>
  </si>
  <si>
    <t>Current</t>
  </si>
  <si>
    <t>Status</t>
  </si>
  <si>
    <t>Inputs</t>
  </si>
  <si>
    <t>Type</t>
  </si>
  <si>
    <t>Frequency</t>
  </si>
  <si>
    <t>Category</t>
  </si>
  <si>
    <t>Owner</t>
  </si>
  <si>
    <t>Narrative</t>
  </si>
  <si>
    <t>% of GridPP commitment for CPU</t>
  </si>
  <si>
    <t>Pledge, CRIC, Tier1 Quarterly Report</t>
  </si>
  <si>
    <t>Derived</t>
  </si>
  <si>
    <t>Quarterly</t>
  </si>
  <si>
    <t>AD</t>
  </si>
  <si>
    <t>% of GridPP commitment for Disk</t>
  </si>
  <si>
    <t>% of GridPP allocation for Tape</t>
  </si>
  <si>
    <t>% of GridPP6 Staff funded</t>
  </si>
  <si>
    <t>Tier-1 Quarterly Report, Project Allocations</t>
  </si>
  <si>
    <t>Direct</t>
  </si>
  <si>
    <t>Resource</t>
  </si>
  <si>
    <t>WLCG Service Availability for Alice</t>
  </si>
  <si>
    <t>Argo Monitoring</t>
  </si>
  <si>
    <t>Monthly</t>
  </si>
  <si>
    <t>WLCG Service Availability for ATLAS</t>
  </si>
  <si>
    <t>WLCG Service Availability for CMS</t>
  </si>
  <si>
    <t>WLCG Service Availability for LHCB</t>
  </si>
  <si>
    <t>% usage by ATLAS of their CPU pledge</t>
  </si>
  <si>
    <t>% usage by ATLAS of their Disk pledge</t>
  </si>
  <si>
    <t>% usage by ATLAS of their Tape pledge</t>
  </si>
  <si>
    <t>% usage by CMS of their CPU pledge</t>
  </si>
  <si>
    <t>% usage by CMS of their Disk pledge</t>
  </si>
  <si>
    <t>% usage by CMS of their Tape pledge</t>
  </si>
  <si>
    <t>% usage by LHCb of their CPU pledge</t>
  </si>
  <si>
    <t>% usage by LHCb of their Disk pledge</t>
  </si>
  <si>
    <t>% usage by LHCb of their Tape pledge</t>
  </si>
  <si>
    <t>% usage by ALICE of their CPU pledge</t>
  </si>
  <si>
    <t>% usage by ALICE of their Disk pledge</t>
  </si>
  <si>
    <t>% usage by ALICE of their Tape pledge</t>
  </si>
  <si>
    <t>% usage by non-LHC VOs of their CPU allocation</t>
  </si>
  <si>
    <t>Pledge, Tier1 Quarterly Report</t>
  </si>
  <si>
    <t>% usage by non-LHC VOs of their Disk allocation</t>
  </si>
  <si>
    <t>% usage by non-LHC VOs of their Tape allocation</t>
  </si>
  <si>
    <t>GridPP Funded Farm Occupancy</t>
  </si>
  <si>
    <t>Tier-1 Quarterly Report</t>
  </si>
  <si>
    <t>% Total DIsk Usage</t>
  </si>
  <si>
    <t>% Total Tape Usage</t>
  </si>
  <si>
    <t>% Job Efficiency (CPU/Wall) - ATLAS</t>
  </si>
  <si>
    <t>% Job Efficiency (CPU/Wall) - CMS</t>
  </si>
  <si>
    <t>% Job Efficiency (CPU/Wall) - LHCb</t>
  </si>
  <si>
    <t>% Job Efficiency (CPU/Wall) - ALICE</t>
  </si>
  <si>
    <t>% Job Efficiency (CPU/Wall) - non-LHC</t>
  </si>
  <si>
    <t>% of GGUS Tickets Handled</t>
  </si>
  <si>
    <t>Average number of security vunerabilities</t>
  </si>
  <si>
    <t>Started</t>
  </si>
  <si>
    <t>GridPP review of operation (biennial)</t>
  </si>
  <si>
    <t>Yes</t>
  </si>
  <si>
    <t>Produce the purchasing plan</t>
  </si>
  <si>
    <t>FY20 Capacity order placed</t>
  </si>
  <si>
    <t>FY20 Purchase in production</t>
  </si>
  <si>
    <t>Tier-1 WLCG MoU commitments met</t>
  </si>
  <si>
    <t>FY21 Capacity order placed</t>
  </si>
  <si>
    <t>FY21 Purchase in production</t>
  </si>
  <si>
    <t>FY22 Capacity order placed</t>
  </si>
  <si>
    <t>FY22 Purchase in production</t>
  </si>
  <si>
    <t>FY23 Capacity order placed</t>
  </si>
  <si>
    <t>FY23 Purchase in production</t>
  </si>
  <si>
    <t>1b</t>
  </si>
  <si>
    <t>Tier-2 Operations</t>
  </si>
  <si>
    <t>% of WLCG Pledged CPU Available - LondonGrid</t>
  </si>
  <si>
    <t>Pledge, CRIC, Tier2 Quarterly Report</t>
  </si>
  <si>
    <t>DR</t>
  </si>
  <si>
    <t>% of WLCG Pledged CPU Available - NorthGrid</t>
  </si>
  <si>
    <t>MD</t>
  </si>
  <si>
    <t>% of WLCG Pledged CPU Available - ScotGrid</t>
  </si>
  <si>
    <t>GR</t>
  </si>
  <si>
    <t>% of WLCG Pledged CPU Available - SouthGrid</t>
  </si>
  <si>
    <t>PG</t>
  </si>
  <si>
    <t>% of WLCG Pledged Disk Available - LondonGrid</t>
  </si>
  <si>
    <t>% of WLCG Pledged Disk Available - NorthGrid</t>
  </si>
  <si>
    <t>% of WLCG Pledged Disk Available - ScotGrid</t>
  </si>
  <si>
    <t>% of WLCG Pledged Disk Available - SouthGrid</t>
  </si>
  <si>
    <t>% CPU Utilisation (Wall Clock) - LondonGrid</t>
  </si>
  <si>
    <t>Quarterly Report, accounting.egi.eu</t>
  </si>
  <si>
    <t>% CPU Utilisation (Wall Clock) - NorthGrid</t>
  </si>
  <si>
    <t>% CPU Utilisation (Wall Clock) - ScotGrid</t>
  </si>
  <si>
    <t>% CPU Utilisation (Wall Clock) - SouthGrid</t>
  </si>
  <si>
    <t xml:space="preserve">Average Argo Availability - LondonGrid </t>
  </si>
  <si>
    <t>Monthy</t>
  </si>
  <si>
    <t xml:space="preserve">Average Argo Reliability - LondonGrid </t>
  </si>
  <si>
    <t xml:space="preserve">Average Argo Availability - NorthGrid </t>
  </si>
  <si>
    <t xml:space="preserve">Average Argo Reliability - NorthGrid </t>
  </si>
  <si>
    <t xml:space="preserve">Average Argo Availability - ScotGrid </t>
  </si>
  <si>
    <t xml:space="preserve">Average Argo Reliability - ScotGrid </t>
  </si>
  <si>
    <t xml:space="preserve">Average Argo Availability - SouthGrid </t>
  </si>
  <si>
    <t xml:space="preserve">Average Argo Reliability - SouthGrid </t>
  </si>
  <si>
    <t>Allocate Tier-2 funds based on performance/utilisation</t>
  </si>
  <si>
    <t>FY21/22 Pocurements commence</t>
  </si>
  <si>
    <t>Most Procurements moved to FY21</t>
  </si>
  <si>
    <t>FY21/22 Procurements completed</t>
  </si>
  <si>
    <t>FY22/23 Pocurements commence</t>
  </si>
  <si>
    <t>FY22/23 Procurements completed</t>
  </si>
  <si>
    <t>Review and set WLCG Pledges</t>
  </si>
  <si>
    <t>CRIC, VO Predictions</t>
  </si>
  <si>
    <t>Yearly</t>
  </si>
  <si>
    <t>1c</t>
  </si>
  <si>
    <t>UK Operations</t>
  </si>
  <si>
    <t>% of GridPP CPU Pledge used by ALICE</t>
  </si>
  <si>
    <t>% of GridPP CPU Pledge used by ATLAS</t>
  </si>
  <si>
    <t>% of GridPP CPU Pledge used by CMS</t>
  </si>
  <si>
    <t>% of GridPP CPU Pledge used by LHCb</t>
  </si>
  <si>
    <t>% of GridPP CPU Pledge used by Other</t>
  </si>
  <si>
    <t>% of GridPP Disk Pledge used by ALICE</t>
  </si>
  <si>
    <t>% of GridPP Disk Pledge used by ATLAS</t>
  </si>
  <si>
    <t>% of GridPP Disk Pledge used by CMS</t>
  </si>
  <si>
    <t>% of GridPP Disk Pledge used by LHcb</t>
  </si>
  <si>
    <t>% of GridPP Disk Pledge available to Other</t>
  </si>
  <si>
    <t>% Utilisation of available GridPP CPU Resources</t>
  </si>
  <si>
    <t>% of GridPP Sites in certified Status</t>
  </si>
  <si>
    <t>CRIC, Tier2 Quarterly Report</t>
  </si>
  <si>
    <t>Availabilty of GridPP Dirac Job submission Framework</t>
  </si>
  <si>
    <t>Federal Services</t>
  </si>
  <si>
    <t>No. of unique supported on Dirac</t>
  </si>
  <si>
    <t>% of Sites responding to security communication requests</t>
  </si>
  <si>
    <t>Security Quarterly Report</t>
  </si>
  <si>
    <t>DC</t>
  </si>
  <si>
    <t>Y</t>
  </si>
  <si>
    <t>GridPP-wide security communication challenge</t>
  </si>
  <si>
    <t>GridPP-wide security training event</t>
  </si>
  <si>
    <t>Review of the role of the security team</t>
  </si>
  <si>
    <t>DK</t>
  </si>
  <si>
    <t>Experiment Support &amp; Liasion</t>
  </si>
  <si>
    <t>T1 Job success rates from ATLAS dashboard (site-only metrics)</t>
  </si>
  <si>
    <t>ATLAS Dashboard</t>
  </si>
  <si>
    <t>ATLAS - Tier1</t>
  </si>
  <si>
    <t>RJ</t>
  </si>
  <si>
    <t>T1 Data availability from the ATLAS dashboard</t>
  </si>
  <si>
    <t>Data acceptance from Tier 0/Tier 1s/Tier 2s - ATLAS SAM tests</t>
  </si>
  <si>
    <t>ATLAS - Tier2</t>
  </si>
  <si>
    <t>Data availability from the ATLAS dashboard; if we can automate this reliably</t>
  </si>
  <si>
    <t>Data acceptance at Tier-2s</t>
  </si>
  <si>
    <t>Data loss at Tier-2s</t>
  </si>
  <si>
    <t>Atlas job success in production</t>
  </si>
  <si>
    <t>ATLAS job success rates in user analysis</t>
  </si>
  <si>
    <t>Tier-1 Data Transfer Quality</t>
  </si>
  <si>
    <t>CMS Dashboard</t>
  </si>
  <si>
    <t>CMS - Tier1</t>
  </si>
  <si>
    <t>Timely and efficient availability and use of resources at RAL T1 (Global %)</t>
  </si>
  <si>
    <t>Tier-1 Average CPU Efficiency</t>
  </si>
  <si>
    <t>Tier-1 Failure Rate</t>
  </si>
  <si>
    <t>Site availability at the Tier-1</t>
  </si>
  <si>
    <t>Data access efficiency via AAA, measured as variance from Global Tier-1 Average</t>
  </si>
  <si>
    <t>Custodial Data Loss at Tier-1</t>
  </si>
  <si>
    <t>Transfer rates to the UK Tier 2s</t>
  </si>
  <si>
    <t>Site availability at the Tier-2s</t>
  </si>
  <si>
    <t>CMS - Tier2</t>
  </si>
  <si>
    <t>Site readiness at the Tier-2s</t>
  </si>
  <si>
    <t>Unique data loss at Tier-2s</t>
  </si>
  <si>
    <t>Failed analysis jobs</t>
  </si>
  <si>
    <t xml:space="preserve">Failed production jobs </t>
  </si>
  <si>
    <t>T2 sites provide an appropriate level of resource to CMS</t>
  </si>
  <si>
    <t>Job performance/efficiency using AAA data transfer</t>
  </si>
  <si>
    <t xml:space="preserve">Tier-1 prod CPU efficiency            </t>
  </si>
  <si>
    <t>LHCb Dirac</t>
  </si>
  <si>
    <t>LHCB - Tier1</t>
  </si>
  <si>
    <t>AM</t>
  </si>
  <si>
    <t xml:space="preserve">Tier-1 user success rate              </t>
  </si>
  <si>
    <t xml:space="preserve">Tier-1 user CPU efficiency            </t>
  </si>
  <si>
    <t xml:space="preserve">UK Tier-1 work fraction            </t>
  </si>
  <si>
    <t xml:space="preserve">Tier-2A : User success rate </t>
  </si>
  <si>
    <t>LHCB - Tier2</t>
  </si>
  <si>
    <t>Tier-2A :   User CPU efficiency</t>
  </si>
  <si>
    <t>All Tier-2: Simulation success rate</t>
  </si>
  <si>
    <t>All Tier-2: Simulation CPU efficiency</t>
  </si>
  <si>
    <t>Tier-1 Monitoring</t>
  </si>
  <si>
    <t>ALICE - Tier1</t>
  </si>
  <si>
    <t>KE</t>
  </si>
  <si>
    <t>UK T1 CPU efficiency for Alice.</t>
  </si>
  <si>
    <t>Fraction of CPU fair share used by Alice at UK T1</t>
  </si>
  <si>
    <t>UK Tier-2 work fraction for ALICE as a proportion of all Tier-2s (2.1% for GridPP6).</t>
  </si>
  <si>
    <t>ALICE - Tier2</t>
  </si>
  <si>
    <t>UK T2 CPU efficiency for Alice.</t>
  </si>
  <si>
    <t>ALICE - Tier3</t>
  </si>
  <si>
    <t>T1 CPU Efficiency for DUNE</t>
  </si>
  <si>
    <t>Quarterly Reporting</t>
  </si>
  <si>
    <t>OTHER - IRIS</t>
  </si>
  <si>
    <t>T2 CPU Efficiency for DUNE</t>
  </si>
  <si>
    <t>CPU usage by DUNE in the UK relative to pledge</t>
  </si>
  <si>
    <t>Pledges, Quarterly Reporting</t>
  </si>
  <si>
    <t>T1 CPU Efficiency for Other (non-DUNE, non-LHC)</t>
  </si>
  <si>
    <t>T2 CPU Efficiency for Other (non-DUNE, non-LHC)</t>
  </si>
  <si>
    <t>OTHER - other</t>
  </si>
  <si>
    <t>T1/T2 % pledged CPU used by Other VOs</t>
  </si>
  <si>
    <t>TBC</t>
  </si>
  <si>
    <t>Report on delivery to ATLAS during year</t>
  </si>
  <si>
    <t>T1 ATLAS</t>
  </si>
  <si>
    <t>Report on delivery to CMS during year</t>
  </si>
  <si>
    <t>T1 CMS</t>
  </si>
  <si>
    <t xml:space="preserve">Y </t>
  </si>
  <si>
    <t>Report on delivery to LHCb during year</t>
  </si>
  <si>
    <t>T1 LHCb</t>
  </si>
  <si>
    <t>Report on delivery to Other during year</t>
  </si>
  <si>
    <t>T1 Other</t>
  </si>
  <si>
    <t>Review of CMS AAA Efficiency</t>
  </si>
  <si>
    <t>Federal Responsibilities</t>
  </si>
  <si>
    <t>GOCDB Availability</t>
  </si>
  <si>
    <t>Federal Services Report</t>
  </si>
  <si>
    <t>GOCDB Usage</t>
  </si>
  <si>
    <t>APEL Availability</t>
  </si>
  <si>
    <t>APEL Usage</t>
  </si>
  <si>
    <t>Workflow Management (DIRAC) Availability</t>
  </si>
  <si>
    <t>Workflow Management (DIRAC) Usage</t>
  </si>
  <si>
    <t>Data Management (FTS + Rucio) Availability</t>
  </si>
  <si>
    <t>Data Management (FTS + Rucio) Usage</t>
  </si>
  <si>
    <t>CVMFS Availability</t>
  </si>
  <si>
    <t>CVMFS Usage</t>
  </si>
  <si>
    <t>% Tier2 sites responding to WLCG Critical EGI SVG broadcasts</t>
  </si>
  <si>
    <t>% Tier2 sites following WLCG incident response procedures</t>
  </si>
  <si>
    <t>No. of WLCG working groups participated in by GridPP Staff</t>
  </si>
  <si>
    <t>Quartery Reports</t>
  </si>
  <si>
    <t>Review WLCG security policy and procedure set</t>
  </si>
  <si>
    <t>Review of WLCG site security operations (SOC) guidelines</t>
  </si>
  <si>
    <t>Participation in EGI CSIRT Service Security Challenge</t>
  </si>
  <si>
    <t>Essential Development</t>
  </si>
  <si>
    <t>No. of Reviews of DiRAC development and rollout to HEP Community</t>
  </si>
  <si>
    <t>6 monthly</t>
  </si>
  <si>
    <t>Review of progress and deployment status made at GridPP Technical Meeting</t>
  </si>
  <si>
    <t>No. of Reviews of Rucio development and rollout to HEP Community</t>
  </si>
  <si>
    <t>No. of Reviews of Tape Service Development</t>
  </si>
  <si>
    <t>Review of Progress made to PMB by Tier-1 Manager via email &amp; PMB report</t>
  </si>
  <si>
    <t>No. of Reviews of Network Development</t>
  </si>
  <si>
    <t>No. of Reviews of Echo Development</t>
  </si>
  <si>
    <t>Needs to be reviewed 20Q3 to meet 6 month target</t>
  </si>
  <si>
    <t>mok</t>
  </si>
  <si>
    <t>No. of Reviews of Data Lake Developments (DOMA &amp; SWIFT-HEP)</t>
  </si>
  <si>
    <t>Procure New Tape Robot</t>
  </si>
  <si>
    <t>Tender, procure and deploy into production a new Tape Robot</t>
  </si>
  <si>
    <t>New Tape management System</t>
  </si>
  <si>
    <t>Migrate to LTO-9 Tape media</t>
  </si>
  <si>
    <t>Procure and deploy, next generation of tape drives.</t>
  </si>
  <si>
    <t>Decomission old Tape system</t>
  </si>
  <si>
    <t>Includes both the Oracle Tape Robot and Castor software.</t>
  </si>
  <si>
    <t>Tier-1 LHCONE integration</t>
  </si>
  <si>
    <t>Awaits effort from STFC DI Group to become available</t>
  </si>
  <si>
    <t>Network</t>
  </si>
  <si>
    <t>Tier-1 Network Upgarde: Install HW</t>
  </si>
  <si>
    <t>Tier-1 Network Upgarde: 100Gb/s LHCOPN link</t>
  </si>
  <si>
    <t>Echo Development</t>
  </si>
  <si>
    <t xml:space="preserve">Tier-1 Network Upgrade: Join LHCONE </t>
  </si>
  <si>
    <t>Tier-1 Network Upgarde: Migrate Services</t>
  </si>
  <si>
    <t>Core Object Store capability</t>
  </si>
  <si>
    <t xml:space="preserve">Adding native object store support to Rucio </t>
  </si>
  <si>
    <t>Data Lakes</t>
  </si>
  <si>
    <t>Rucio: FTS - S3</t>
  </si>
  <si>
    <t>Adding S3, WebDAV, HTTPS as endpoint protocols with required functionality (inc 3rd party copy)</t>
  </si>
  <si>
    <t>Cacheing for diskless T2s deployed</t>
  </si>
  <si>
    <t>Support for diskless T2s which then require data form larger T2s.</t>
  </si>
  <si>
    <t>WLCG "datalake" like federation</t>
  </si>
  <si>
    <t>Region or national level federation of storage will be needed during GridP6. Awaits WLCG/HSF/DOMA timescales.</t>
  </si>
  <si>
    <t>Participate in DOMA</t>
  </si>
  <si>
    <t>DOMA (Data orgnisation, management, access) development and deployment</t>
  </si>
  <si>
    <t>Deployment of storage accounting</t>
  </si>
  <si>
    <t>Rucio: IAM integration</t>
  </si>
  <si>
    <t>EGI</t>
  </si>
  <si>
    <t>GridPP/WLCG</t>
  </si>
  <si>
    <t>Rucio: FTS/IAM integration</t>
  </si>
  <si>
    <t>Rucio: WEBFTS</t>
  </si>
  <si>
    <t>% FTE in place across collaboration</t>
  </si>
  <si>
    <t>Quarterly Reports, Project Allocations</t>
  </si>
  <si>
    <t>% Quarterly reports received before deadline (2 months)</t>
  </si>
  <si>
    <t>Quarterly Reports</t>
  </si>
  <si>
    <t>% of Weekly PMB Meetings held</t>
  </si>
  <si>
    <t>Meeting Minutes, Admin Support</t>
  </si>
  <si>
    <t>% of Weekly Operations Meetings held</t>
  </si>
  <si>
    <t>% of Project Map updated by quarter end</t>
  </si>
  <si>
    <t>Quarterly Reports, Project Map</t>
  </si>
  <si>
    <t>% of Financial Model updated by quarter end</t>
  </si>
  <si>
    <t>Finacial Model, STFC, Quarterly Reports</t>
  </si>
  <si>
    <t>No. of Face to Face PMB Meetings held</t>
  </si>
  <si>
    <t>No. of Collaboration Meetings held</t>
  </si>
  <si>
    <t>moK</t>
  </si>
  <si>
    <t>No. of Tier-1 Resource Meetings held</t>
  </si>
  <si>
    <t>Financial plan for GridPP6 established</t>
  </si>
  <si>
    <t xml:space="preserve">Draft ProjectMap for GridPP6. </t>
  </si>
  <si>
    <t>Final project map for GridPP6.</t>
  </si>
  <si>
    <t>Quarterly reporting system agreed for other areas</t>
  </si>
  <si>
    <t>T2 staff grants issued for GridPP6</t>
  </si>
  <si>
    <t>Allocations for Tier-2 hardware grants</t>
  </si>
  <si>
    <t>Grants for Tier-2 hardware issued</t>
  </si>
  <si>
    <t>Allocations  for Tier-2 hardware grants</t>
  </si>
  <si>
    <t>Post-GridPP6 planning initiated</t>
  </si>
  <si>
    <t>Variable</t>
  </si>
  <si>
    <t>OC papers submitted 2 weeks before meeting</t>
  </si>
  <si>
    <t>Half Yearly</t>
  </si>
  <si>
    <t>WLCG pledges updated</t>
  </si>
  <si>
    <t>Pledges</t>
  </si>
  <si>
    <t>Year 1 review of service to experiments</t>
  </si>
  <si>
    <t>Year 2 review of service to experiments</t>
  </si>
  <si>
    <t>Year 3 review of service to experiments</t>
  </si>
  <si>
    <t>Year 4 review of service to experiments</t>
  </si>
  <si>
    <t>Initials</t>
  </si>
  <si>
    <t>Name</t>
  </si>
  <si>
    <t>Role</t>
  </si>
  <si>
    <t>Alastair Dewhurst</t>
  </si>
  <si>
    <t>Tier-1 Manager</t>
  </si>
  <si>
    <t>Andrew McNab</t>
  </si>
  <si>
    <t>LHCB</t>
  </si>
  <si>
    <t>DB</t>
  </si>
  <si>
    <t>David Britton</t>
  </si>
  <si>
    <t>Project Leader</t>
  </si>
  <si>
    <t>David Colling</t>
  </si>
  <si>
    <t>Duncan Rand</t>
  </si>
  <si>
    <t>LondonGrid, Other Rep.</t>
  </si>
  <si>
    <t>Project Manager</t>
  </si>
  <si>
    <t>Matthew Doidge</t>
  </si>
  <si>
    <t>NorthGrid</t>
  </si>
  <si>
    <t>Pete Gronbech</t>
  </si>
  <si>
    <t>Resource Manager</t>
  </si>
  <si>
    <t>Roger Jones</t>
  </si>
  <si>
    <t>Milestones (including Deliverables) Table</t>
  </si>
  <si>
    <t>No.</t>
  </si>
  <si>
    <t>Work Package</t>
  </si>
  <si>
    <t>Baseline Date</t>
  </si>
  <si>
    <t xml:space="preserve">Target </t>
  </si>
  <si>
    <t>Completion Date</t>
  </si>
  <si>
    <t>Delay due to</t>
  </si>
  <si>
    <t>Affects Critical Path?</t>
  </si>
  <si>
    <t>See Note</t>
  </si>
  <si>
    <t>Date</t>
  </si>
  <si>
    <t>Change</t>
  </si>
  <si>
    <t>UK</t>
  </si>
  <si>
    <t>on track</t>
  </si>
  <si>
    <t>completed</t>
  </si>
  <si>
    <t>T1 Production job success rates (site only metrics) - from PANDA dashboard</t>
  </si>
  <si>
    <t xml:space="preserve">on track </t>
  </si>
  <si>
    <t>GS</t>
  </si>
  <si>
    <t>There is currently no way to access this information.</t>
  </si>
  <si>
    <t>In line with previous numbers
Note that this is jobs not including simulation</t>
  </si>
  <si>
    <t xml:space="preserve"> </t>
  </si>
  <si>
    <t>1 CRITICAL advisory; 1 Tier-2 did not respond to request for information
Site flagged for follow-up to understand situation
(Note for metrics: with 16 production Tier-2s, 1 site not responding makes this amber, should we consider revising the bands for this one?)</t>
  </si>
  <si>
    <t>n/a in this period</t>
  </si>
  <si>
    <t>Review available on request. Milestone now completed (July 2021). This was 3 months late because of conflict with other activities.</t>
  </si>
  <si>
    <t>n/a  in this period</t>
  </si>
  <si>
    <t>GridPP-wide security communication challenge: Challenge largely successful, but highlighted some mail infrastructure issues which are believed to have been solved</t>
  </si>
  <si>
    <t xml:space="preserve">T1 usage 11,012,753 HS06 hours = 5042 HS06; T2 usage 170,692,610 HS06 hours = 78,156 HS06. Total sum is 83,198. </t>
  </si>
  <si>
    <t>https://egi.ui.argo.grnet.gr/egi/report-ar-dates-2/OPS-MONITOR-Critical/SITES/GRIDOPS-GOCDB?start_date=2021-04-01&amp;end_date=2021-06-30</t>
  </si>
  <si>
    <t>Average Number of Concurrent GOCDB sessions  https://vande.gridpp.rl.ac.uk/next/d/Vg3-GCXMk/gocdb-longer-term-host-metrics?orgId=1&amp;from=1617231600000&amp;to=1625093999000</t>
  </si>
  <si>
    <t>https://egi.ui.argo.grnet.gr/egi/report-ar-dates-2/OPS-MONITOR-Critical/SITES/GRIDOPS-APEL?start_date=2021-04-01&amp;end_date=2021-06-30</t>
  </si>
  <si>
    <t>Millions of messages processed in the quarter.</t>
  </si>
  <si>
    <t>Measured as number of active VO (&gt;2000 jobs in the quarter)</t>
  </si>
  <si>
    <t>Only measuring FTS service availability currently</t>
  </si>
  <si>
    <t>https://egi.ui.argo.grnet.gr/egi/report-ar-dates-2/OPS-MONITOR-Critical/SITES/GRIDOPS-CVMFS?start_date=2021-04-01&amp;end_date=2021-06-30</t>
  </si>
  <si>
    <t xml:space="preserve">Measured as number of active repositories </t>
  </si>
  <si>
    <t>SS</t>
  </si>
  <si>
    <t>Samuel Skipsey</t>
  </si>
  <si>
    <t>Determined by counting unique user groups in DIRAC config</t>
  </si>
  <si>
    <t>S</t>
  </si>
  <si>
    <t>Metric Suspended; As per Metric 24, it is impossible to accurately measure AAA efficiency in the current CMS configuration. Ongoing work at the Tier-1 on CMS job efficiency provides understanding of the features this metric was intended to capture.</t>
  </si>
  <si>
    <t>suspended</t>
  </si>
  <si>
    <t>Q2</t>
  </si>
  <si>
    <t>CTA adopted as new tape system. Test systems in deployment.</t>
  </si>
  <si>
    <t xml:space="preserve">ALICE have not been writing to tape during the long shutdown.  </t>
  </si>
  <si>
    <t>Expected to enter production in July 21, due to COVID and other delays</t>
  </si>
  <si>
    <t>?</t>
  </si>
  <si>
    <t>I would expect this to be higher, given the CPU calculation</t>
  </si>
  <si>
    <t>Cancelled due to pandemic</t>
  </si>
  <si>
    <t>Bristol</t>
  </si>
  <si>
    <t>Significant increase in disk pledge required by ALICE as step function, ALICE has not filled it yet</t>
  </si>
  <si>
    <t>N</t>
  </si>
  <si>
    <t>Ordered Jan-2020, delayed due to COVID lockdown (done now though)</t>
  </si>
  <si>
    <t>WLCG storage accounting to be deployed. DONE</t>
  </si>
  <si>
    <t>Migrating</t>
  </si>
  <si>
    <t>Done (but was overdue)</t>
  </si>
  <si>
    <t xml:space="preserve">Availability is improving compared to last quarter, since new CMS test was added.  </t>
  </si>
  <si>
    <t>There was a spike in usage when the pledges were being updated.  ATLAS have subsequently run a dark data cleanup.</t>
  </si>
  <si>
    <t xml:space="preserve">Pledge increased by 3.6PB which LHCb were unable to immediately use. </t>
  </si>
  <si>
    <t>Pledge increased by almost 15PB which LHCb will only make use of as data is taken.</t>
  </si>
  <si>
    <t>ALICE have not started significantly increasing their disk usage yet.</t>
  </si>
  <si>
    <t>Currently only Dune using Echo.  Dune appear to have a dark data problem which we are investigating.</t>
  </si>
  <si>
    <t>Long outage of the farm during network segmentation work in June reduced overall occupancy.</t>
  </si>
  <si>
    <t>Pledge increase means not all capacity was used immediately.</t>
  </si>
  <si>
    <t>Significantly better than previous quarter.  Full impact of network improvements have not yet been realised.</t>
  </si>
  <si>
    <t xml:space="preserve">Inefficient high-IO Sherpa jobs introduced a number of job failures at the site, until problem was identified and a fix (on the ATLAS side) rolled out. </t>
  </si>
  <si>
    <t>Transfers via the new protocol, Webdav, suffered when load was high (e.g. from all VOs combined), but it was particularly noticeable that SAM tests failed. There was an improvement in the config and also increased hardware, and the end of the quarter appeared better.</t>
  </si>
  <si>
    <t>RAL ran 7.9% of completed CMS Tier 1 jobs, which is down on last quarter but still above pledge which is 6.8%.</t>
  </si>
  <si>
    <t>Now achieving the average Tier 1 job efficiency - great improvement in the last year.</t>
  </si>
  <si>
    <t>Same as last quarter. However, real value closer to 11% due to LogCollect jobs continuing to fail, and not being fixed by CMS.</t>
  </si>
  <si>
    <t>89,91,90% from WLCG SiteMon Apr/May/Jun. As last quarter, this was strongly affected by the SAM test failures for the webdav endpoint. In addition there were issues with SAM tests on the CEs. None of these affected running prod jobs, so Katy articifially kept RAL enabled for jobs.</t>
  </si>
  <si>
    <t>None of note</t>
  </si>
  <si>
    <t>Pretty serious transfer problems at Bristol (although this is generally considered a T3…and should really be labelled as one) with 1% transfer efficiency (success rate) through most of the quarter. At time of writing there is a ggus ticket and it is being updated regularly. Other sites look fine.</t>
  </si>
  <si>
    <t xml:space="preserve">IC - 98 (98/99/97)%, RALPP - 94 (98/90/94)%, Brunel - 95 (99/88/97)%	</t>
  </si>
  <si>
    <t>IC - 98 (98/99/97)%, RALPP - 95 (98/90/96)%, Brunel - 95 (99/88/97)%</t>
  </si>
  <si>
    <t>None reported</t>
  </si>
  <si>
    <t>A bit higher than last quarter, but still within the expected margin</t>
  </si>
  <si>
    <t>Good</t>
  </si>
  <si>
    <t xml:space="preserve">UK T2 sites provided CPU to complete 4.7% of CMS T2 jobs.	</t>
  </si>
  <si>
    <t>Much better utilisation this quarter, 3.38% of ALICE work done by T1s</t>
  </si>
  <si>
    <t>Very good. Not every site does this well</t>
  </si>
  <si>
    <t>Using pledge of 14940 HS06 (multiplied by 24 and number of days in the quarter).</t>
  </si>
  <si>
    <t>3.17% of T2 walltime was run in the UK, well above pledge</t>
  </si>
  <si>
    <t>Slight improvement on last quarter. Some other sites just as bad, I think this is expected.</t>
  </si>
  <si>
    <t>Some improvement on last quarter. Many sites have low values.</t>
  </si>
  <si>
    <t>963 cores in total, from T1 (average 128 cores) and T2 (average 835 cores). Down on last quarter.</t>
  </si>
  <si>
    <t>Delayed T1, Fed Services, NorthGrid, LHCb, Security reports due to staff scheduling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</si>
</sst>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809]mmm\-yy"/>
  </numFmts>
  <fonts count="31">
    <font>
      <sz val="11"/>
      <color theme="1"/>
      <name val="Calibri"/>
      <family val="2"/>
      <scheme val="minor"/>
    </font>
    <font>
      <sz val="11"/>
      <color theme="1"/>
      <name val="Calibri"/>
      <family val="2"/>
      <scheme val="minor"/>
    </font>
    <font>
      <sz val="10"/>
      <name val="Arial"/>
      <family val="2"/>
    </font>
    <font>
      <sz val="8"/>
      <color theme="1"/>
      <name val="Calibri"/>
      <family val="2"/>
      <scheme val="minor"/>
    </font>
    <font>
      <sz val="10"/>
      <name val="Arial"/>
      <family val="2"/>
    </font>
    <font>
      <sz val="11"/>
      <color rgb="FF000000"/>
      <name val="Calibri"/>
      <family val="2"/>
      <scheme val="minor"/>
    </font>
    <font>
      <b/>
      <sz val="11"/>
      <color rgb="FFFFFFFF"/>
      <name val="Calibri"/>
      <family val="2"/>
      <scheme val="minor"/>
    </font>
    <font>
      <sz val="11"/>
      <color rgb="FFFFFFFF"/>
      <name val="Calibri"/>
      <family val="2"/>
      <scheme val="minor"/>
    </font>
    <font>
      <b/>
      <sz val="11"/>
      <color theme="1"/>
      <name val="Calibri"/>
      <family val="2"/>
      <scheme val="minor"/>
    </font>
    <font>
      <b/>
      <sz val="16"/>
      <color rgb="FFFFFFFF"/>
      <name val="Calibri"/>
      <family val="2"/>
      <scheme val="minor"/>
    </font>
    <font>
      <b/>
      <sz val="11"/>
      <color rgb="FF000000"/>
      <name val="Calibri"/>
      <family val="2"/>
      <charset val="1"/>
    </font>
    <font>
      <b/>
      <sz val="10"/>
      <color rgb="FF000000"/>
      <name val="Arial"/>
      <family val="2"/>
      <charset val="1"/>
    </font>
    <font>
      <sz val="10"/>
      <color rgb="FF000000"/>
      <name val="Arial"/>
      <family val="2"/>
      <charset val="1"/>
    </font>
    <font>
      <sz val="10"/>
      <color rgb="FF000000"/>
      <name val="Calibri"/>
      <family val="2"/>
    </font>
    <font>
      <sz val="10"/>
      <color theme="1"/>
      <name val="Calibri"/>
      <family val="2"/>
    </font>
    <font>
      <sz val="11"/>
      <color rgb="FF000000"/>
      <name val="Calibri"/>
      <family val="2"/>
    </font>
    <font>
      <u/>
      <sz val="11"/>
      <color theme="10"/>
      <name val="Calibri"/>
      <family val="2"/>
      <scheme val="minor"/>
    </font>
    <font>
      <b/>
      <sz val="11"/>
      <color rgb="FF000000"/>
      <name val="Calibri"/>
      <family val="2"/>
      <scheme val="minor"/>
    </font>
    <font>
      <sz val="10"/>
      <color rgb="FF000000"/>
      <name val="Arial"/>
      <family val="2"/>
    </font>
    <font>
      <sz val="11"/>
      <color theme="1"/>
      <name val="Calibri"/>
      <family val="2"/>
      <scheme val="minor"/>
    </font>
    <font>
      <sz val="12"/>
      <color theme="1"/>
      <name val="Calibri"/>
      <family val="2"/>
      <scheme val="minor"/>
    </font>
    <font>
      <sz val="12"/>
      <color theme="0"/>
      <name val="Calibri"/>
      <family val="2"/>
      <scheme val="minor"/>
    </font>
    <font>
      <sz val="12"/>
      <color rgb="FF9C0006"/>
      <name val="Calibri"/>
      <family val="2"/>
      <scheme val="minor"/>
    </font>
    <font>
      <sz val="12"/>
      <color theme="1"/>
      <name val="Calibri (Body)"/>
    </font>
    <font>
      <sz val="11"/>
      <color indexed="8"/>
      <name val="Calibri"/>
      <family val="2"/>
    </font>
    <font>
      <sz val="11"/>
      <color rgb="FF000000"/>
      <name val="Calibri"/>
      <family val="2"/>
      <charset val="1"/>
    </font>
    <font>
      <sz val="9"/>
      <color theme="1"/>
      <name val="Calibri"/>
      <family val="2"/>
      <scheme val="minor"/>
    </font>
    <font>
      <sz val="11"/>
      <color indexed="8"/>
      <name val="Calibri"/>
    </font>
    <font>
      <sz val="11"/>
      <color rgb="FF000000"/>
      <name val="Calibri"/>
    </font>
    <font>
      <sz val="11"/>
      <color theme="1"/>
      <name val="Calibri"/>
      <scheme val="minor"/>
    </font>
    <font>
      <sz val="12"/>
      <color theme="0"/>
      <name val="Calibri (Body)"/>
    </font>
  </fonts>
  <fills count="20">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9"/>
        <bgColor indexed="64"/>
      </patternFill>
    </fill>
    <fill>
      <patternFill patternType="solid">
        <fgColor rgb="FFFFC000"/>
        <bgColor indexed="64"/>
      </patternFill>
    </fill>
    <fill>
      <patternFill patternType="solid">
        <fgColor rgb="FFFF0000"/>
        <bgColor indexed="64"/>
      </patternFill>
    </fill>
    <fill>
      <patternFill patternType="solid">
        <fgColor rgb="FF00B0F0"/>
        <bgColor indexed="64"/>
      </patternFill>
    </fill>
    <fill>
      <patternFill patternType="solid">
        <fgColor theme="0"/>
        <bgColor indexed="64"/>
      </patternFill>
    </fill>
    <fill>
      <patternFill patternType="solid">
        <fgColor theme="6" tint="-0.499984740745262"/>
        <bgColor indexed="64"/>
      </patternFill>
    </fill>
    <fill>
      <patternFill patternType="solid">
        <fgColor theme="1"/>
        <bgColor indexed="64"/>
      </patternFill>
    </fill>
    <fill>
      <patternFill patternType="solid">
        <fgColor rgb="FFFFFF00"/>
        <bgColor indexed="64"/>
      </patternFill>
    </fill>
    <fill>
      <patternFill patternType="solid">
        <fgColor rgb="FF757171"/>
        <bgColor indexed="64"/>
      </patternFill>
    </fill>
    <fill>
      <patternFill patternType="solid">
        <fgColor rgb="FF0070C0"/>
        <bgColor indexed="64"/>
      </patternFill>
    </fill>
    <fill>
      <patternFill patternType="solid">
        <fgColor rgb="FF002060"/>
        <bgColor indexed="64"/>
      </patternFill>
    </fill>
    <fill>
      <patternFill patternType="solid">
        <fgColor rgb="FFFFC7CE"/>
      </patternFill>
    </fill>
    <fill>
      <patternFill patternType="solid">
        <fgColor theme="9"/>
        <bgColor theme="9"/>
      </patternFill>
    </fill>
    <fill>
      <patternFill patternType="solid">
        <fgColor theme="0"/>
        <bgColor auto="1"/>
      </patternFill>
    </fill>
    <fill>
      <patternFill patternType="solid">
        <fgColor theme="0"/>
        <bgColor rgb="FF000000"/>
      </patternFill>
    </fill>
    <fill>
      <patternFill patternType="solid">
        <fgColor rgb="FFFF0000"/>
        <bgColor theme="9"/>
      </patternFill>
    </fill>
  </fills>
  <borders count="105">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auto="1"/>
      </bottom>
      <diagonal/>
    </border>
    <border>
      <left style="thin">
        <color theme="1"/>
      </left>
      <right style="thin">
        <color theme="1"/>
      </right>
      <top/>
      <bottom/>
      <diagonal/>
    </border>
    <border>
      <left style="thin">
        <color theme="1"/>
      </left>
      <right style="thin">
        <color theme="1"/>
      </right>
      <top/>
      <bottom style="thin">
        <color theme="1"/>
      </bottom>
      <diagonal/>
    </border>
    <border>
      <left/>
      <right/>
      <top style="thin">
        <color theme="1"/>
      </top>
      <bottom style="thin">
        <color theme="1"/>
      </bottom>
      <diagonal/>
    </border>
    <border>
      <left style="thin">
        <color theme="1"/>
      </left>
      <right style="thin">
        <color theme="1"/>
      </right>
      <top style="thin">
        <color theme="1"/>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auto="1"/>
      </right>
      <top style="thin">
        <color auto="1"/>
      </top>
      <bottom style="thin">
        <color auto="1"/>
      </bottom>
      <diagonal/>
    </border>
    <border>
      <left/>
      <right style="thin">
        <color rgb="FF000000"/>
      </right>
      <top style="thin">
        <color indexed="64"/>
      </top>
      <bottom style="thin">
        <color indexed="64"/>
      </bottom>
      <diagonal/>
    </border>
    <border>
      <left style="thin">
        <color rgb="FF000000"/>
      </left>
      <right style="thin">
        <color indexed="64"/>
      </right>
      <top/>
      <bottom/>
      <diagonal/>
    </border>
    <border>
      <left/>
      <right style="thin">
        <color rgb="FF000000"/>
      </right>
      <top/>
      <bottom/>
      <diagonal/>
    </border>
    <border>
      <left style="thin">
        <color rgb="FF000000"/>
      </left>
      <right style="thin">
        <color indexed="64"/>
      </right>
      <top/>
      <bottom style="thin">
        <color rgb="FF000000"/>
      </bottom>
      <diagonal/>
    </border>
    <border>
      <left style="thin">
        <color indexed="64"/>
      </left>
      <right/>
      <top/>
      <bottom style="thin">
        <color rgb="FF000000"/>
      </bottom>
      <diagonal/>
    </border>
    <border>
      <left style="thin">
        <color theme="1"/>
      </left>
      <right style="thin">
        <color theme="1"/>
      </right>
      <top/>
      <bottom style="thin">
        <color rgb="FF000000"/>
      </bottom>
      <diagonal/>
    </border>
    <border>
      <left style="thin">
        <color indexed="64"/>
      </left>
      <right style="thin">
        <color indexed="64"/>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rgb="FF000000"/>
      </bottom>
      <diagonal/>
    </border>
    <border>
      <left style="thin">
        <color rgb="FF000000"/>
      </left>
      <right/>
      <top/>
      <bottom style="thin">
        <color rgb="FF000000"/>
      </bottom>
      <diagonal/>
    </border>
    <border>
      <left style="thin">
        <color indexed="64"/>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000000"/>
      </right>
      <top style="thin">
        <color rgb="FFFFFFFF"/>
      </top>
      <bottom style="thin">
        <color rgb="FFFFFFFF"/>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indexed="64"/>
      </top>
      <bottom/>
      <diagonal/>
    </border>
    <border>
      <left/>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indexed="64"/>
      </bottom>
      <diagonal/>
    </border>
    <border>
      <left style="thin">
        <color rgb="FF000000"/>
      </left>
      <right style="thin">
        <color auto="1"/>
      </right>
      <top/>
      <bottom style="thin">
        <color auto="1"/>
      </bottom>
      <diagonal/>
    </border>
    <border>
      <left/>
      <right style="thin">
        <color rgb="FF000000"/>
      </right>
      <top/>
      <bottom style="thin">
        <color indexed="64"/>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bottom style="thin">
        <color rgb="FFFFFFFF"/>
      </bottom>
      <diagonal/>
    </border>
    <border>
      <left style="thin">
        <color rgb="FFFFFFFF"/>
      </left>
      <right style="thin">
        <color rgb="FF000000"/>
      </right>
      <top/>
      <bottom style="thin">
        <color rgb="FFFFFFFF"/>
      </bottom>
      <diagonal/>
    </border>
    <border>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style="thin">
        <color rgb="FF000000"/>
      </bottom>
      <diagonal/>
    </border>
    <border>
      <left/>
      <right style="thin">
        <color theme="1"/>
      </right>
      <top/>
      <bottom style="thin">
        <color auto="1"/>
      </bottom>
      <diagonal/>
    </border>
    <border>
      <left/>
      <right style="thin">
        <color theme="1"/>
      </right>
      <top/>
      <bottom/>
      <diagonal/>
    </border>
    <border>
      <left/>
      <right style="thin">
        <color theme="1"/>
      </right>
      <top/>
      <bottom style="thin">
        <color rgb="FF000000"/>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right style="thin">
        <color theme="1"/>
      </right>
      <top/>
      <bottom style="thin">
        <color theme="1"/>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auto="1"/>
      </left>
      <right style="thin">
        <color auto="1"/>
      </right>
      <top style="thin">
        <color rgb="FF000000"/>
      </top>
      <bottom style="thin">
        <color auto="1"/>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FFFFFF"/>
      </top>
      <bottom style="thin">
        <color rgb="FFFFFFFF"/>
      </bottom>
      <diagonal/>
    </border>
    <border>
      <left style="thin">
        <color rgb="FF000000"/>
      </left>
      <right style="thin">
        <color rgb="FF000000"/>
      </right>
      <top style="thin">
        <color rgb="FFFFFFFF"/>
      </top>
      <bottom style="thin">
        <color rgb="FF000000"/>
      </bottom>
      <diagonal/>
    </border>
    <border>
      <left style="thin">
        <color rgb="FF000000"/>
      </left>
      <right style="thin">
        <color rgb="FF000000"/>
      </right>
      <top/>
      <bottom style="thin">
        <color rgb="FFFFFFFF"/>
      </bottom>
      <diagonal/>
    </border>
    <border>
      <left style="thin">
        <color rgb="FF000000"/>
      </left>
      <right style="thin">
        <color auto="1"/>
      </right>
      <top style="thin">
        <color auto="1"/>
      </top>
      <bottom style="thin">
        <color rgb="FF000000"/>
      </bottom>
      <diagonal/>
    </border>
    <border>
      <left/>
      <right/>
      <top style="thick">
        <color rgb="FF000000"/>
      </top>
      <bottom/>
      <diagonal/>
    </border>
    <border>
      <left/>
      <right style="thick">
        <color rgb="FF000000"/>
      </right>
      <top style="thick">
        <color rgb="FF000000"/>
      </top>
      <bottom/>
      <diagonal/>
    </border>
    <border>
      <left/>
      <right style="thick">
        <color rgb="FF000000"/>
      </right>
      <top/>
      <bottom/>
      <diagonal/>
    </border>
    <border>
      <left/>
      <right style="thick">
        <color rgb="FF000000"/>
      </right>
      <top/>
      <bottom style="thick">
        <color rgb="FF000000"/>
      </bottom>
      <diagonal/>
    </border>
    <border>
      <left style="thick">
        <color rgb="FF000000"/>
      </left>
      <right/>
      <top style="thick">
        <color rgb="FF000000"/>
      </top>
      <bottom/>
      <diagonal/>
    </border>
    <border>
      <left style="thick">
        <color rgb="FF000000"/>
      </left>
      <right/>
      <top/>
      <bottom/>
      <diagonal/>
    </border>
    <border>
      <left/>
      <right/>
      <top/>
      <bottom style="thick">
        <color rgb="FF000000"/>
      </bottom>
      <diagonal/>
    </border>
    <border>
      <left style="thick">
        <color rgb="FF000000"/>
      </left>
      <right/>
      <top/>
      <bottom style="thick">
        <color rgb="FF000000"/>
      </bottom>
      <diagonal/>
    </border>
    <border>
      <left style="thin">
        <color auto="1"/>
      </left>
      <right style="thin">
        <color rgb="FF000000"/>
      </right>
      <top style="thin">
        <color auto="1"/>
      </top>
      <bottom style="thin">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rgb="FF000000"/>
      </bottom>
      <diagonal/>
    </border>
    <border>
      <left style="thin">
        <color rgb="FF000000"/>
      </left>
      <right style="thin">
        <color rgb="FF000000"/>
      </right>
      <top style="thin">
        <color auto="1"/>
      </top>
      <bottom style="thin">
        <color auto="1"/>
      </bottom>
      <diagonal/>
    </border>
    <border>
      <left/>
      <right style="thin">
        <color theme="1"/>
      </right>
      <top style="thin">
        <color theme="1"/>
      </top>
      <bottom style="thin">
        <color theme="1"/>
      </bottom>
      <diagonal/>
    </border>
    <border>
      <left style="thin">
        <color indexed="8"/>
      </left>
      <right/>
      <top style="thin">
        <color indexed="8"/>
      </top>
      <bottom style="thin">
        <color indexed="9"/>
      </bottom>
      <diagonal/>
    </border>
    <border>
      <left style="thin">
        <color indexed="8"/>
      </left>
      <right/>
      <top style="thin">
        <color indexed="9"/>
      </top>
      <bottom style="thin">
        <color indexed="9"/>
      </bottom>
      <diagonal/>
    </border>
    <border>
      <left style="thin">
        <color indexed="8"/>
      </left>
      <right/>
      <top style="thin">
        <color indexed="9"/>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xf numFmtId="44"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xf numFmtId="0" fontId="19" fillId="0" borderId="0"/>
    <xf numFmtId="0" fontId="21" fillId="16" borderId="0" applyNumberFormat="0" applyBorder="0"/>
    <xf numFmtId="0" fontId="16" fillId="0" borderId="0" applyNumberFormat="0" applyFill="0" applyBorder="0"/>
    <xf numFmtId="9" fontId="1" fillId="0" borderId="0" applyFont="0" applyFill="0" applyBorder="0"/>
    <xf numFmtId="0" fontId="22" fillId="15" borderId="0" applyNumberFormat="0" applyBorder="0" applyAlignment="0" applyProtection="0"/>
    <xf numFmtId="0" fontId="24" fillId="0" borderId="0" applyNumberFormat="0" applyFill="0" applyBorder="0" applyProtection="0"/>
    <xf numFmtId="0" fontId="25" fillId="0" borderId="0"/>
    <xf numFmtId="9" fontId="25" fillId="0" borderId="0" applyBorder="0" applyProtection="0"/>
    <xf numFmtId="0" fontId="27" fillId="0" borderId="0" applyNumberFormat="0" applyFill="0" applyBorder="0" applyProtection="0"/>
    <xf numFmtId="0" fontId="29" fillId="0" borderId="0"/>
  </cellStyleXfs>
  <cellXfs count="422">
    <xf numFmtId="0" fontId="0" fillId="0" borderId="0" xfId="0"/>
    <xf numFmtId="0" fontId="0" fillId="0" borderId="0" xfId="0" applyAlignment="1">
      <alignment horizontal="left"/>
    </xf>
    <xf numFmtId="0" fontId="0" fillId="0" borderId="0" xfId="0" applyAlignment="1">
      <alignment horizontal="center"/>
    </xf>
    <xf numFmtId="0" fontId="0" fillId="4" borderId="1" xfId="0" applyFill="1" applyBorder="1"/>
    <xf numFmtId="0" fontId="0" fillId="0" borderId="1" xfId="0" applyBorder="1"/>
    <xf numFmtId="0" fontId="0" fillId="5" borderId="1" xfId="0" applyFill="1" applyBorder="1"/>
    <xf numFmtId="0" fontId="0" fillId="6" borderId="1" xfId="0" applyFill="1" applyBorder="1"/>
    <xf numFmtId="0" fontId="0" fillId="2" borderId="1" xfId="0" applyFill="1" applyBorder="1"/>
    <xf numFmtId="0" fontId="0" fillId="8" borderId="1" xfId="0" applyFill="1" applyBorder="1"/>
    <xf numFmtId="0" fontId="0" fillId="0" borderId="1" xfId="0" applyFill="1"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9" fontId="0" fillId="0" borderId="12" xfId="2" applyFont="1" applyBorder="1" applyAlignment="1">
      <alignment horizontal="center"/>
    </xf>
    <xf numFmtId="9" fontId="0" fillId="0" borderId="12" xfId="0" applyNumberFormat="1" applyBorder="1" applyAlignment="1">
      <alignment horizontal="center"/>
    </xf>
    <xf numFmtId="9" fontId="0" fillId="0" borderId="13" xfId="2" applyFont="1" applyBorder="1" applyAlignment="1">
      <alignment horizontal="center"/>
    </xf>
    <xf numFmtId="0" fontId="0" fillId="0" borderId="1"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17" fontId="2" fillId="0" borderId="12" xfId="0" applyNumberFormat="1" applyFont="1" applyBorder="1" applyAlignment="1">
      <alignment horizontal="center"/>
    </xf>
    <xf numFmtId="17" fontId="2" fillId="0" borderId="13" xfId="0" applyNumberFormat="1" applyFont="1" applyBorder="1" applyAlignment="1">
      <alignment horizontal="center"/>
    </xf>
    <xf numFmtId="0" fontId="0" fillId="0" borderId="12" xfId="0" applyBorder="1"/>
    <xf numFmtId="0" fontId="0" fillId="0" borderId="13" xfId="0" applyBorder="1"/>
    <xf numFmtId="0" fontId="3" fillId="0" borderId="0" xfId="0" applyFont="1" applyBorder="1" applyAlignment="1">
      <alignment horizontal="center"/>
    </xf>
    <xf numFmtId="0" fontId="0" fillId="9" borderId="1" xfId="0" applyFill="1" applyBorder="1"/>
    <xf numFmtId="0" fontId="0" fillId="10" borderId="1" xfId="0" applyFill="1" applyBorder="1"/>
    <xf numFmtId="17" fontId="0" fillId="0" borderId="12" xfId="0" applyNumberFormat="1" applyBorder="1" applyAlignment="1">
      <alignment horizontal="center"/>
    </xf>
    <xf numFmtId="17" fontId="0" fillId="0" borderId="13" xfId="0" applyNumberFormat="1" applyBorder="1" applyAlignment="1">
      <alignment horizontal="center"/>
    </xf>
    <xf numFmtId="0" fontId="0" fillId="0" borderId="13" xfId="1" applyNumberFormat="1" applyFont="1" applyBorder="1" applyAlignment="1">
      <alignment horizontal="center"/>
    </xf>
    <xf numFmtId="0" fontId="0" fillId="0" borderId="19"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9" xfId="0" applyBorder="1"/>
    <xf numFmtId="0" fontId="0" fillId="0" borderId="16" xfId="0" applyBorder="1"/>
    <xf numFmtId="0" fontId="0" fillId="0" borderId="16" xfId="0" applyBorder="1" applyAlignment="1">
      <alignment horizontal="left"/>
    </xf>
    <xf numFmtId="0" fontId="0" fillId="0" borderId="17" xfId="0" applyBorder="1" applyAlignment="1">
      <alignment horizontal="left"/>
    </xf>
    <xf numFmtId="0" fontId="0" fillId="0" borderId="19" xfId="0" applyBorder="1" applyAlignment="1">
      <alignment horizontal="left"/>
    </xf>
    <xf numFmtId="0" fontId="0" fillId="0" borderId="10" xfId="0" applyBorder="1" applyAlignment="1">
      <alignment horizontal="center"/>
    </xf>
    <xf numFmtId="0" fontId="0" fillId="0" borderId="2" xfId="0" applyBorder="1" applyAlignment="1">
      <alignment horizontal="center"/>
    </xf>
    <xf numFmtId="0" fontId="0" fillId="0" borderId="18" xfId="0" applyBorder="1" applyAlignment="1">
      <alignment horizontal="center"/>
    </xf>
    <xf numFmtId="0" fontId="0" fillId="2" borderId="15" xfId="0" applyFill="1" applyBorder="1" applyAlignment="1">
      <alignment horizontal="center"/>
    </xf>
    <xf numFmtId="0" fontId="0" fillId="2" borderId="9" xfId="0" applyFill="1" applyBorder="1" applyAlignment="1">
      <alignment horizontal="center"/>
    </xf>
    <xf numFmtId="9" fontId="0" fillId="0" borderId="4" xfId="2" applyFont="1" applyBorder="1" applyAlignment="1">
      <alignment horizontal="center"/>
    </xf>
    <xf numFmtId="0" fontId="0" fillId="0" borderId="11" xfId="0" applyBorder="1" applyAlignment="1">
      <alignment horizontal="center"/>
    </xf>
    <xf numFmtId="9" fontId="0" fillId="0" borderId="16" xfId="2" applyFont="1" applyBorder="1" applyAlignment="1">
      <alignment horizontal="center"/>
    </xf>
    <xf numFmtId="0" fontId="0" fillId="0" borderId="9" xfId="0" applyBorder="1" applyAlignment="1">
      <alignment horizontal="center"/>
    </xf>
    <xf numFmtId="0" fontId="0" fillId="0" borderId="8" xfId="0" applyBorder="1" applyAlignment="1">
      <alignment horizontal="left"/>
    </xf>
    <xf numFmtId="0" fontId="0" fillId="0" borderId="12" xfId="0" applyBorder="1" applyAlignment="1">
      <alignment vertical="top"/>
    </xf>
    <xf numFmtId="0" fontId="0" fillId="0" borderId="21" xfId="0" applyBorder="1" applyAlignment="1">
      <alignment vertical="top"/>
    </xf>
    <xf numFmtId="0" fontId="0" fillId="0" borderId="4" xfId="2" applyNumberFormat="1" applyFont="1" applyBorder="1" applyAlignment="1">
      <alignment horizontal="center"/>
    </xf>
    <xf numFmtId="0" fontId="0" fillId="0" borderId="16" xfId="2" applyNumberFormat="1" applyFont="1" applyBorder="1" applyAlignment="1">
      <alignment horizontal="center"/>
    </xf>
    <xf numFmtId="0" fontId="0" fillId="0" borderId="4" xfId="0" applyNumberFormat="1" applyBorder="1" applyAlignment="1">
      <alignment horizontal="center"/>
    </xf>
    <xf numFmtId="0" fontId="0" fillId="2" borderId="25" xfId="0" applyFill="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0" xfId="0" applyNumberFormat="1" applyBorder="1" applyAlignment="1">
      <alignment horizontal="center"/>
    </xf>
    <xf numFmtId="0" fontId="0" fillId="0" borderId="31" xfId="2" applyNumberFormat="1" applyFont="1" applyBorder="1" applyAlignment="1">
      <alignment horizontal="center"/>
    </xf>
    <xf numFmtId="0" fontId="0" fillId="0" borderId="32" xfId="0" applyBorder="1" applyAlignment="1">
      <alignment horizontal="left"/>
    </xf>
    <xf numFmtId="0" fontId="0" fillId="0" borderId="32" xfId="0" applyBorder="1" applyAlignment="1">
      <alignment horizontal="center"/>
    </xf>
    <xf numFmtId="0" fontId="0" fillId="0" borderId="33" xfId="0" applyBorder="1" applyAlignment="1">
      <alignment horizontal="center"/>
    </xf>
    <xf numFmtId="9" fontId="0" fillId="0" borderId="32" xfId="0" applyNumberFormat="1" applyBorder="1" applyAlignment="1">
      <alignment horizontal="center"/>
    </xf>
    <xf numFmtId="9" fontId="0" fillId="0" borderId="32" xfId="2" applyFont="1" applyBorder="1" applyAlignment="1">
      <alignment horizontal="center"/>
    </xf>
    <xf numFmtId="0" fontId="0" fillId="0" borderId="34" xfId="0" applyBorder="1" applyAlignment="1">
      <alignment horizontal="center"/>
    </xf>
    <xf numFmtId="0" fontId="0" fillId="0" borderId="20" xfId="0" applyBorder="1" applyAlignment="1">
      <alignment horizontal="center"/>
    </xf>
    <xf numFmtId="0" fontId="0" fillId="0" borderId="35" xfId="0" applyBorder="1" applyAlignment="1">
      <alignment horizontal="center"/>
    </xf>
    <xf numFmtId="17" fontId="2" fillId="0" borderId="32" xfId="0" applyNumberFormat="1" applyFont="1" applyBorder="1" applyAlignment="1">
      <alignment horizontal="center"/>
    </xf>
    <xf numFmtId="0" fontId="0" fillId="0" borderId="32" xfId="0" applyBorder="1"/>
    <xf numFmtId="0" fontId="0" fillId="0" borderId="36" xfId="0" applyBorder="1" applyAlignment="1">
      <alignment horizontal="left"/>
    </xf>
    <xf numFmtId="17" fontId="2" fillId="0" borderId="0" xfId="0" applyNumberFormat="1" applyFont="1" applyBorder="1" applyAlignment="1">
      <alignment horizontal="center"/>
    </xf>
    <xf numFmtId="0" fontId="0" fillId="0" borderId="0"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21" xfId="0" applyBorder="1" applyAlignment="1">
      <alignment horizontal="center"/>
    </xf>
    <xf numFmtId="17" fontId="2" fillId="0" borderId="23" xfId="0" applyNumberFormat="1" applyFont="1" applyBorder="1" applyAlignment="1">
      <alignment horizontal="center"/>
    </xf>
    <xf numFmtId="17" fontId="2" fillId="0" borderId="39" xfId="0" applyNumberFormat="1" applyFont="1" applyBorder="1" applyAlignment="1">
      <alignment horizontal="center"/>
    </xf>
    <xf numFmtId="17" fontId="0" fillId="0" borderId="37" xfId="0" applyNumberFormat="1" applyBorder="1" applyAlignment="1">
      <alignment horizontal="center"/>
    </xf>
    <xf numFmtId="17" fontId="0" fillId="0" borderId="38" xfId="0" applyNumberFormat="1" applyBorder="1" applyAlignment="1">
      <alignment horizontal="center"/>
    </xf>
    <xf numFmtId="0" fontId="0" fillId="0" borderId="22" xfId="0" applyBorder="1"/>
    <xf numFmtId="0" fontId="0" fillId="0" borderId="20" xfId="0" applyBorder="1"/>
    <xf numFmtId="0" fontId="0" fillId="0" borderId="20" xfId="0" applyBorder="1" applyAlignment="1">
      <alignment horizontal="left"/>
    </xf>
    <xf numFmtId="0" fontId="0" fillId="0" borderId="35" xfId="0" applyBorder="1" applyAlignment="1">
      <alignment horizontal="left"/>
    </xf>
    <xf numFmtId="0" fontId="0" fillId="0" borderId="22" xfId="0" applyBorder="1" applyAlignment="1">
      <alignment horizontal="left"/>
    </xf>
    <xf numFmtId="0" fontId="0" fillId="0" borderId="22" xfId="0" applyBorder="1" applyAlignment="1">
      <alignment horizontal="center"/>
    </xf>
    <xf numFmtId="0" fontId="3" fillId="0" borderId="40" xfId="0" applyFont="1" applyBorder="1" applyAlignment="1">
      <alignment horizontal="center"/>
    </xf>
    <xf numFmtId="0" fontId="0" fillId="0" borderId="40" xfId="0" applyBorder="1"/>
    <xf numFmtId="0" fontId="3" fillId="0" borderId="40" xfId="0" applyFont="1" applyFill="1" applyBorder="1" applyAlignment="1">
      <alignment horizontal="center"/>
    </xf>
    <xf numFmtId="0" fontId="0" fillId="0" borderId="40" xfId="0" applyBorder="1" applyAlignment="1">
      <alignment horizontal="center"/>
    </xf>
    <xf numFmtId="0" fontId="0" fillId="0" borderId="40" xfId="0" applyFill="1" applyBorder="1" applyAlignment="1">
      <alignment horizontal="center"/>
    </xf>
    <xf numFmtId="0" fontId="0" fillId="0" borderId="41" xfId="0" applyBorder="1"/>
    <xf numFmtId="0" fontId="3" fillId="0" borderId="41" xfId="0" applyFont="1" applyBorder="1" applyAlignment="1">
      <alignment horizontal="center"/>
    </xf>
    <xf numFmtId="0" fontId="3" fillId="0" borderId="42" xfId="0" applyFont="1" applyBorder="1" applyAlignment="1">
      <alignment horizontal="center"/>
    </xf>
    <xf numFmtId="0" fontId="0" fillId="0" borderId="42" xfId="0" applyBorder="1"/>
    <xf numFmtId="0" fontId="0" fillId="0" borderId="43" xfId="0" applyBorder="1"/>
    <xf numFmtId="0" fontId="0" fillId="0" borderId="41" xfId="0" applyBorder="1" applyAlignment="1">
      <alignment horizontal="center"/>
    </xf>
    <xf numFmtId="0" fontId="0" fillId="0" borderId="42" xfId="0" applyBorder="1" applyAlignment="1">
      <alignment horizontal="center"/>
    </xf>
    <xf numFmtId="17" fontId="4" fillId="0" borderId="23" xfId="0" applyNumberFormat="1" applyFont="1" applyBorder="1" applyAlignment="1">
      <alignment horizontal="center"/>
    </xf>
    <xf numFmtId="17" fontId="4" fillId="0" borderId="39" xfId="0" applyNumberFormat="1" applyFont="1" applyBorder="1" applyAlignment="1">
      <alignment horizontal="center"/>
    </xf>
    <xf numFmtId="17" fontId="4" fillId="0" borderId="37" xfId="0" applyNumberFormat="1" applyFont="1" applyBorder="1" applyAlignment="1">
      <alignment horizontal="center"/>
    </xf>
    <xf numFmtId="17" fontId="4" fillId="0" borderId="38" xfId="0" applyNumberFormat="1" applyFont="1" applyBorder="1" applyAlignment="1">
      <alignment horizontal="center"/>
    </xf>
    <xf numFmtId="17" fontId="4" fillId="0" borderId="21" xfId="0" applyNumberFormat="1" applyFont="1" applyBorder="1" applyAlignment="1">
      <alignment horizontal="center"/>
    </xf>
    <xf numFmtId="17" fontId="4" fillId="0" borderId="0" xfId="0" applyNumberFormat="1" applyFont="1" applyBorder="1" applyAlignment="1">
      <alignment horizontal="center"/>
    </xf>
    <xf numFmtId="0" fontId="0" fillId="0" borderId="48" xfId="0" applyBorder="1" applyAlignment="1">
      <alignment horizontal="center"/>
    </xf>
    <xf numFmtId="0" fontId="0" fillId="0" borderId="39" xfId="0" applyBorder="1" applyAlignment="1">
      <alignment horizontal="center"/>
    </xf>
    <xf numFmtId="0" fontId="3" fillId="0" borderId="57" xfId="0" applyFont="1" applyBorder="1" applyAlignment="1">
      <alignment horizontal="center"/>
    </xf>
    <xf numFmtId="0" fontId="0" fillId="0" borderId="57" xfId="0" applyBorder="1"/>
    <xf numFmtId="0" fontId="0" fillId="0" borderId="58" xfId="0" applyBorder="1"/>
    <xf numFmtId="0" fontId="3" fillId="0" borderId="59" xfId="0" applyFont="1" applyBorder="1" applyAlignment="1">
      <alignment horizontal="center"/>
    </xf>
    <xf numFmtId="0" fontId="3" fillId="0" borderId="60" xfId="0" applyFont="1" applyBorder="1" applyAlignment="1">
      <alignment horizontal="center"/>
    </xf>
    <xf numFmtId="0" fontId="3" fillId="0" borderId="61" xfId="0" applyFont="1"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0" fillId="0" borderId="59" xfId="0" applyBorder="1" applyAlignment="1">
      <alignment horizontal="center"/>
    </xf>
    <xf numFmtId="0" fontId="0" fillId="0" borderId="57" xfId="0" applyBorder="1" applyAlignment="1">
      <alignment horizontal="center"/>
    </xf>
    <xf numFmtId="9" fontId="0" fillId="0" borderId="38" xfId="2" applyFont="1" applyBorder="1" applyAlignment="1">
      <alignment horizontal="center"/>
    </xf>
    <xf numFmtId="0" fontId="0" fillId="0" borderId="38" xfId="2" applyNumberFormat="1" applyFont="1" applyBorder="1" applyAlignment="1">
      <alignment horizontal="center"/>
    </xf>
    <xf numFmtId="0" fontId="0" fillId="0" borderId="38" xfId="0" applyNumberFormat="1" applyBorder="1" applyAlignment="1">
      <alignment horizontal="center"/>
    </xf>
    <xf numFmtId="0" fontId="0" fillId="0" borderId="21" xfId="0" applyNumberFormat="1" applyBorder="1" applyAlignment="1">
      <alignment horizontal="center"/>
    </xf>
    <xf numFmtId="9" fontId="0" fillId="0" borderId="63" xfId="2" applyFont="1" applyBorder="1" applyAlignment="1">
      <alignment horizontal="center"/>
    </xf>
    <xf numFmtId="0" fontId="0" fillId="0" borderId="63" xfId="2" applyNumberFormat="1" applyFont="1" applyBorder="1" applyAlignment="1">
      <alignment horizontal="center"/>
    </xf>
    <xf numFmtId="0" fontId="0" fillId="0" borderId="64" xfId="2" applyNumberFormat="1" applyFont="1" applyBorder="1" applyAlignment="1">
      <alignment horizontal="center"/>
    </xf>
    <xf numFmtId="17" fontId="2" fillId="0" borderId="38" xfId="0" applyNumberFormat="1" applyFont="1" applyBorder="1" applyAlignment="1">
      <alignment horizontal="center"/>
    </xf>
    <xf numFmtId="17" fontId="2" fillId="0" borderId="21" xfId="0" applyNumberFormat="1" applyFont="1" applyBorder="1" applyAlignment="1">
      <alignment horizontal="center"/>
    </xf>
    <xf numFmtId="17" fontId="2" fillId="0" borderId="65" xfId="0" applyNumberFormat="1" applyFont="1" applyBorder="1" applyAlignment="1">
      <alignment horizontal="center"/>
    </xf>
    <xf numFmtId="17" fontId="2" fillId="0" borderId="66" xfId="0" applyNumberFormat="1" applyFont="1" applyBorder="1" applyAlignment="1">
      <alignment horizontal="center"/>
    </xf>
    <xf numFmtId="0" fontId="0" fillId="0" borderId="66" xfId="0" applyBorder="1" applyAlignment="1">
      <alignment horizontal="center"/>
    </xf>
    <xf numFmtId="17" fontId="2" fillId="0" borderId="67" xfId="0" applyNumberFormat="1" applyFont="1" applyBorder="1" applyAlignment="1">
      <alignment horizontal="center"/>
    </xf>
    <xf numFmtId="17" fontId="0" fillId="0" borderId="63" xfId="0" applyNumberFormat="1" applyBorder="1" applyAlignment="1">
      <alignment horizontal="center"/>
    </xf>
    <xf numFmtId="0" fontId="0" fillId="0" borderId="63" xfId="0" applyBorder="1" applyAlignment="1">
      <alignment horizontal="center"/>
    </xf>
    <xf numFmtId="0" fontId="0" fillId="0" borderId="68" xfId="0" applyBorder="1" applyAlignment="1">
      <alignment horizontal="center"/>
    </xf>
    <xf numFmtId="0" fontId="0" fillId="0" borderId="65" xfId="0" applyBorder="1" applyAlignment="1">
      <alignment horizontal="center"/>
    </xf>
    <xf numFmtId="0" fontId="0" fillId="0" borderId="67" xfId="0" applyBorder="1" applyAlignment="1">
      <alignment horizontal="center"/>
    </xf>
    <xf numFmtId="0" fontId="0" fillId="0" borderId="69" xfId="0" applyBorder="1" applyAlignment="1">
      <alignment horizontal="center"/>
    </xf>
    <xf numFmtId="9" fontId="0" fillId="0" borderId="70" xfId="2" applyFont="1" applyBorder="1" applyAlignment="1">
      <alignment horizontal="center"/>
    </xf>
    <xf numFmtId="0" fontId="0" fillId="0" borderId="71" xfId="0" applyBorder="1" applyAlignment="1">
      <alignment horizontal="center"/>
    </xf>
    <xf numFmtId="0" fontId="0" fillId="0" borderId="70" xfId="0" applyBorder="1"/>
    <xf numFmtId="0" fontId="0" fillId="0" borderId="70" xfId="0" applyBorder="1" applyAlignment="1">
      <alignment horizontal="left"/>
    </xf>
    <xf numFmtId="0" fontId="0" fillId="0" borderId="70" xfId="0" applyBorder="1" applyAlignment="1">
      <alignment horizontal="center"/>
    </xf>
    <xf numFmtId="9" fontId="0" fillId="0" borderId="70" xfId="0" applyNumberFormat="1" applyBorder="1" applyAlignment="1">
      <alignment horizontal="center"/>
    </xf>
    <xf numFmtId="0" fontId="0" fillId="0" borderId="45" xfId="0" applyBorder="1" applyAlignment="1">
      <alignment horizontal="center"/>
    </xf>
    <xf numFmtId="0" fontId="0" fillId="0" borderId="38" xfId="0" applyFont="1" applyBorder="1" applyAlignment="1">
      <alignment horizontal="center"/>
    </xf>
    <xf numFmtId="0" fontId="0" fillId="0" borderId="20" xfId="0" applyFont="1" applyBorder="1"/>
    <xf numFmtId="0" fontId="0" fillId="0" borderId="20" xfId="0" applyFont="1" applyBorder="1" applyAlignment="1">
      <alignment horizontal="left"/>
    </xf>
    <xf numFmtId="0" fontId="0" fillId="0" borderId="20" xfId="0" applyFont="1" applyBorder="1" applyAlignment="1">
      <alignment horizontal="center"/>
    </xf>
    <xf numFmtId="0" fontId="0" fillId="0" borderId="10" xfId="0" applyFont="1" applyBorder="1" applyAlignment="1">
      <alignment horizontal="center"/>
    </xf>
    <xf numFmtId="0" fontId="0" fillId="0" borderId="37" xfId="0" applyFont="1" applyBorder="1" applyAlignment="1">
      <alignment horizontal="center"/>
    </xf>
    <xf numFmtId="0" fontId="0" fillId="0" borderId="45" xfId="0" applyFont="1" applyBorder="1" applyAlignment="1">
      <alignment horizontal="center"/>
    </xf>
    <xf numFmtId="0" fontId="0" fillId="0" borderId="22" xfId="0" applyFont="1" applyBorder="1"/>
    <xf numFmtId="0" fontId="0" fillId="0" borderId="22" xfId="0" applyFont="1" applyBorder="1" applyAlignment="1">
      <alignment horizontal="left"/>
    </xf>
    <xf numFmtId="0" fontId="0" fillId="0" borderId="22" xfId="0" applyFont="1" applyBorder="1" applyAlignment="1">
      <alignment horizontal="center"/>
    </xf>
    <xf numFmtId="0" fontId="0" fillId="0" borderId="2" xfId="0" applyFont="1" applyBorder="1" applyAlignment="1">
      <alignment horizontal="center"/>
    </xf>
    <xf numFmtId="17" fontId="2" fillId="0" borderId="37" xfId="0" applyNumberFormat="1" applyFont="1" applyBorder="1" applyAlignment="1">
      <alignment horizontal="center"/>
    </xf>
    <xf numFmtId="17" fontId="0" fillId="0" borderId="24" xfId="0" applyNumberFormat="1" applyBorder="1" applyAlignment="1">
      <alignment horizontal="center"/>
    </xf>
    <xf numFmtId="0" fontId="0" fillId="0" borderId="28" xfId="0" applyFont="1" applyBorder="1" applyAlignment="1">
      <alignment horizontal="center"/>
    </xf>
    <xf numFmtId="17" fontId="0" fillId="0" borderId="28" xfId="0" applyNumberFormat="1" applyFont="1" applyBorder="1" applyAlignment="1">
      <alignment horizontal="center"/>
    </xf>
    <xf numFmtId="0" fontId="0" fillId="0" borderId="23" xfId="0" applyBorder="1" applyAlignment="1">
      <alignment horizontal="center"/>
    </xf>
    <xf numFmtId="0" fontId="5" fillId="0" borderId="0" xfId="0" applyFont="1" applyBorder="1" applyAlignment="1">
      <alignment horizontal="left"/>
    </xf>
    <xf numFmtId="0" fontId="0" fillId="0" borderId="72" xfId="0" applyBorder="1" applyAlignment="1">
      <alignment horizontal="center"/>
    </xf>
    <xf numFmtId="0" fontId="6" fillId="12" borderId="1" xfId="0" applyFont="1" applyFill="1" applyBorder="1" applyAlignment="1">
      <alignment horizontal="center"/>
    </xf>
    <xf numFmtId="0" fontId="6" fillId="12" borderId="1" xfId="0" applyFont="1" applyFill="1" applyBorder="1"/>
    <xf numFmtId="0" fontId="6" fillId="12" borderId="56" xfId="0" applyFont="1" applyFill="1" applyBorder="1" applyAlignment="1">
      <alignment horizontal="center"/>
    </xf>
    <xf numFmtId="0" fontId="6" fillId="12" borderId="75" xfId="0" applyFont="1" applyFill="1" applyBorder="1" applyAlignment="1">
      <alignment horizontal="center"/>
    </xf>
    <xf numFmtId="0" fontId="6" fillId="12" borderId="73" xfId="0" applyFont="1" applyFill="1" applyBorder="1" applyAlignment="1">
      <alignment horizontal="center"/>
    </xf>
    <xf numFmtId="0" fontId="6" fillId="12" borderId="74" xfId="0" applyFont="1" applyFill="1" applyBorder="1" applyAlignment="1">
      <alignment horizontal="center"/>
    </xf>
    <xf numFmtId="0" fontId="6" fillId="12" borderId="38" xfId="0" applyFont="1" applyFill="1" applyBorder="1" applyAlignment="1">
      <alignment horizontal="center"/>
    </xf>
    <xf numFmtId="0" fontId="6" fillId="12" borderId="21" xfId="0" applyFont="1" applyFill="1" applyBorder="1" applyAlignment="1">
      <alignment horizontal="center"/>
    </xf>
    <xf numFmtId="0" fontId="6" fillId="12" borderId="25" xfId="0" applyFont="1" applyFill="1" applyBorder="1" applyAlignment="1">
      <alignment horizontal="center"/>
    </xf>
    <xf numFmtId="0" fontId="6" fillId="12" borderId="1" xfId="0" applyFont="1" applyFill="1" applyBorder="1" applyAlignment="1">
      <alignment horizontal="left"/>
    </xf>
    <xf numFmtId="0" fontId="6" fillId="12" borderId="26" xfId="0" applyFont="1" applyFill="1" applyBorder="1" applyAlignment="1">
      <alignment horizontal="center"/>
    </xf>
    <xf numFmtId="0" fontId="6" fillId="12" borderId="47" xfId="0" applyFont="1" applyFill="1" applyBorder="1" applyAlignment="1">
      <alignment horizontal="center"/>
    </xf>
    <xf numFmtId="0" fontId="6" fillId="12" borderId="14" xfId="0" applyFont="1" applyFill="1" applyBorder="1" applyAlignment="1">
      <alignment horizontal="center"/>
    </xf>
    <xf numFmtId="0" fontId="6" fillId="12" borderId="14" xfId="0" applyFont="1" applyFill="1" applyBorder="1" applyAlignment="1">
      <alignment horizontal="left"/>
    </xf>
    <xf numFmtId="0" fontId="6" fillId="12" borderId="3" xfId="0" applyFont="1" applyFill="1" applyBorder="1" applyAlignment="1">
      <alignment horizontal="center"/>
    </xf>
    <xf numFmtId="0" fontId="7" fillId="12" borderId="54" xfId="0" applyFont="1" applyFill="1" applyBorder="1" applyAlignment="1">
      <alignment horizontal="center"/>
    </xf>
    <xf numFmtId="0" fontId="7" fillId="12" borderId="13" xfId="0" applyFont="1" applyFill="1" applyBorder="1" applyAlignment="1">
      <alignment horizontal="center"/>
    </xf>
    <xf numFmtId="0" fontId="7" fillId="12" borderId="13" xfId="0" applyFont="1" applyFill="1" applyBorder="1" applyAlignment="1">
      <alignment horizontal="left"/>
    </xf>
    <xf numFmtId="0" fontId="7" fillId="12" borderId="7" xfId="0" applyFont="1" applyFill="1" applyBorder="1" applyAlignment="1">
      <alignment horizontal="center"/>
    </xf>
    <xf numFmtId="0" fontId="6" fillId="12" borderId="54" xfId="0" applyFont="1" applyFill="1" applyBorder="1" applyAlignment="1">
      <alignment horizontal="center"/>
    </xf>
    <xf numFmtId="0" fontId="6" fillId="12" borderId="13" xfId="0" applyFont="1" applyFill="1" applyBorder="1" applyAlignment="1">
      <alignment horizontal="center"/>
    </xf>
    <xf numFmtId="0" fontId="6" fillId="12" borderId="13" xfId="0" applyFont="1" applyFill="1" applyBorder="1" applyAlignment="1">
      <alignment horizontal="left"/>
    </xf>
    <xf numFmtId="0" fontId="6" fillId="12" borderId="7" xfId="0" applyFont="1" applyFill="1" applyBorder="1" applyAlignment="1">
      <alignment horizontal="center"/>
    </xf>
    <xf numFmtId="0" fontId="6" fillId="12" borderId="53" xfId="0" applyFont="1" applyFill="1" applyBorder="1" applyAlignment="1">
      <alignment horizontal="center"/>
    </xf>
    <xf numFmtId="0" fontId="7" fillId="12" borderId="49" xfId="0" applyFont="1" applyFill="1" applyBorder="1" applyAlignment="1">
      <alignment horizontal="center"/>
    </xf>
    <xf numFmtId="0" fontId="6" fillId="12" borderId="49" xfId="0" applyFont="1" applyFill="1" applyBorder="1" applyAlignment="1">
      <alignment horizontal="center"/>
    </xf>
    <xf numFmtId="0" fontId="7" fillId="12" borderId="55" xfId="0" applyFont="1" applyFill="1" applyBorder="1" applyAlignment="1">
      <alignment horizontal="center"/>
    </xf>
    <xf numFmtId="0" fontId="7" fillId="12" borderId="28" xfId="0" applyFont="1" applyFill="1" applyBorder="1" applyAlignment="1">
      <alignment horizontal="center"/>
    </xf>
    <xf numFmtId="0" fontId="6" fillId="12" borderId="55" xfId="0" applyFont="1" applyFill="1" applyBorder="1" applyAlignment="1">
      <alignment horizontal="center"/>
    </xf>
    <xf numFmtId="0" fontId="6" fillId="12" borderId="28" xfId="0" applyFont="1" applyFill="1" applyBorder="1" applyAlignment="1">
      <alignment horizontal="center"/>
    </xf>
    <xf numFmtId="0" fontId="7" fillId="12" borderId="27" xfId="0" applyFont="1" applyFill="1" applyBorder="1" applyAlignment="1">
      <alignment horizontal="center"/>
    </xf>
    <xf numFmtId="0" fontId="7" fillId="12" borderId="12" xfId="0" applyFont="1" applyFill="1" applyBorder="1" applyAlignment="1">
      <alignment horizontal="center"/>
    </xf>
    <xf numFmtId="0" fontId="7" fillId="12" borderId="12" xfId="0" applyFont="1" applyFill="1" applyBorder="1" applyAlignment="1">
      <alignment horizontal="left"/>
    </xf>
    <xf numFmtId="0" fontId="7" fillId="12" borderId="38" xfId="0" applyFont="1" applyFill="1" applyBorder="1" applyAlignment="1">
      <alignment horizontal="center"/>
    </xf>
    <xf numFmtId="0" fontId="7" fillId="12" borderId="5" xfId="0" applyFont="1" applyFill="1" applyBorder="1" applyAlignment="1">
      <alignment horizontal="center"/>
    </xf>
    <xf numFmtId="0" fontId="6" fillId="12" borderId="12" xfId="0" applyFont="1" applyFill="1" applyBorder="1" applyAlignment="1">
      <alignment horizontal="center"/>
    </xf>
    <xf numFmtId="0" fontId="6" fillId="12" borderId="5" xfId="0" applyFont="1" applyFill="1" applyBorder="1" applyAlignment="1">
      <alignment horizontal="center"/>
    </xf>
    <xf numFmtId="0" fontId="6" fillId="12" borderId="12" xfId="0" applyFont="1" applyFill="1" applyBorder="1" applyAlignment="1">
      <alignment horizontal="left"/>
    </xf>
    <xf numFmtId="0" fontId="7" fillId="12" borderId="8" xfId="0" applyFont="1" applyFill="1" applyBorder="1" applyAlignment="1">
      <alignment horizontal="center"/>
    </xf>
    <xf numFmtId="0" fontId="6" fillId="12" borderId="8" xfId="0" applyFont="1" applyFill="1" applyBorder="1" applyAlignment="1">
      <alignment horizontal="center"/>
    </xf>
    <xf numFmtId="0" fontId="7" fillId="12" borderId="6" xfId="0" applyFont="1" applyFill="1" applyBorder="1" applyAlignment="1">
      <alignment horizontal="center"/>
    </xf>
    <xf numFmtId="0" fontId="7" fillId="12" borderId="62" xfId="0" applyFont="1" applyFill="1" applyBorder="1" applyAlignment="1">
      <alignment horizontal="center"/>
    </xf>
    <xf numFmtId="0" fontId="7" fillId="12" borderId="16" xfId="0" applyFont="1" applyFill="1" applyBorder="1" applyAlignment="1">
      <alignment horizontal="center"/>
    </xf>
    <xf numFmtId="0" fontId="7" fillId="12" borderId="66" xfId="0" applyFont="1" applyFill="1" applyBorder="1" applyAlignment="1">
      <alignment horizontal="center"/>
    </xf>
    <xf numFmtId="0" fontId="7" fillId="12" borderId="21" xfId="0" applyFont="1" applyFill="1" applyBorder="1" applyAlignment="1">
      <alignment horizontal="center"/>
    </xf>
    <xf numFmtId="0" fontId="0" fillId="0" borderId="0" xfId="0" applyAlignment="1">
      <alignment horizontal="left" vertical="center"/>
    </xf>
    <xf numFmtId="0" fontId="0" fillId="0" borderId="1" xfId="0" applyFill="1" applyBorder="1"/>
    <xf numFmtId="0" fontId="0" fillId="0" borderId="0" xfId="0" applyFill="1" applyBorder="1"/>
    <xf numFmtId="0" fontId="0" fillId="0" borderId="0" xfId="0" applyFill="1" applyAlignment="1">
      <alignment horizontal="left" vertical="center"/>
    </xf>
    <xf numFmtId="0" fontId="0" fillId="0" borderId="13" xfId="0" applyFill="1" applyBorder="1"/>
    <xf numFmtId="0" fontId="0" fillId="0" borderId="5" xfId="0" applyBorder="1" applyAlignment="1">
      <alignment horizontal="left"/>
    </xf>
    <xf numFmtId="0" fontId="0" fillId="0" borderId="28" xfId="0" applyBorder="1" applyAlignment="1">
      <alignment horizontal="left" vertical="center"/>
    </xf>
    <xf numFmtId="0" fontId="0" fillId="4" borderId="25" xfId="0" applyFill="1" applyBorder="1"/>
    <xf numFmtId="0" fontId="0" fillId="0" borderId="77" xfId="0" applyBorder="1" applyAlignment="1">
      <alignment horizontal="left" vertical="center"/>
    </xf>
    <xf numFmtId="0" fontId="0" fillId="0" borderId="78" xfId="0" applyBorder="1" applyAlignment="1">
      <alignment horizontal="left" vertical="center"/>
    </xf>
    <xf numFmtId="0" fontId="0" fillId="0" borderId="0" xfId="0" applyBorder="1" applyAlignment="1">
      <alignment horizontal="left" vertical="center"/>
    </xf>
    <xf numFmtId="0" fontId="0" fillId="0" borderId="79" xfId="0" applyBorder="1" applyAlignment="1">
      <alignment horizontal="lef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78" xfId="0" applyFill="1" applyBorder="1" applyAlignment="1">
      <alignment horizontal="left" vertical="center"/>
    </xf>
    <xf numFmtId="0" fontId="0" fillId="0" borderId="82" xfId="0" applyBorder="1"/>
    <xf numFmtId="0" fontId="0" fillId="0" borderId="83" xfId="0" applyBorder="1"/>
    <xf numFmtId="0" fontId="0" fillId="0" borderId="84" xfId="0" applyBorder="1"/>
    <xf numFmtId="0" fontId="0" fillId="0" borderId="82" xfId="0" applyBorder="1" applyAlignment="1">
      <alignment horizontal="left" vertical="center"/>
    </xf>
    <xf numFmtId="0" fontId="0" fillId="0" borderId="82" xfId="0" applyFill="1" applyBorder="1" applyAlignment="1">
      <alignment horizontal="left"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85" xfId="0" applyFill="1" applyBorder="1"/>
    <xf numFmtId="0" fontId="0" fillId="0" borderId="34" xfId="0" applyFill="1" applyBorder="1"/>
    <xf numFmtId="0" fontId="0" fillId="2" borderId="1" xfId="0" applyFill="1" applyBorder="1" applyAlignment="1">
      <alignment horizontal="center"/>
    </xf>
    <xf numFmtId="0" fontId="0" fillId="4" borderId="25" xfId="0" applyFill="1" applyBorder="1" applyAlignment="1">
      <alignment horizontal="center"/>
    </xf>
    <xf numFmtId="0" fontId="0" fillId="0" borderId="0" xfId="0" applyBorder="1" applyAlignment="1">
      <alignment vertical="center" wrapText="1"/>
    </xf>
    <xf numFmtId="0" fontId="0" fillId="0" borderId="0" xfId="0" applyBorder="1" applyAlignment="1">
      <alignment vertical="center"/>
    </xf>
    <xf numFmtId="0" fontId="0" fillId="0" borderId="30" xfId="0" applyBorder="1" applyAlignment="1">
      <alignment horizontal="center"/>
    </xf>
    <xf numFmtId="0" fontId="0" fillId="0" borderId="12" xfId="0" applyBorder="1" applyAlignment="1">
      <alignment vertical="center"/>
    </xf>
    <xf numFmtId="1" fontId="0" fillId="0" borderId="12" xfId="2" applyNumberFormat="1" applyFont="1" applyBorder="1" applyAlignment="1">
      <alignment horizontal="center"/>
    </xf>
    <xf numFmtId="0" fontId="0" fillId="0" borderId="13" xfId="2" applyNumberFormat="1" applyFont="1" applyBorder="1" applyAlignment="1">
      <alignment horizontal="center"/>
    </xf>
    <xf numFmtId="0" fontId="0" fillId="0" borderId="0" xfId="0" applyBorder="1" applyAlignment="1">
      <alignment horizontal="left" vertical="center" wrapText="1"/>
    </xf>
    <xf numFmtId="0" fontId="0" fillId="0" borderId="32" xfId="0" applyBorder="1" applyAlignment="1">
      <alignment vertical="center"/>
    </xf>
    <xf numFmtId="0" fontId="0" fillId="0" borderId="39" xfId="0" applyBorder="1" applyAlignment="1">
      <alignment horizontal="left" vertical="center" wrapText="1"/>
    </xf>
    <xf numFmtId="0" fontId="0" fillId="5" borderId="25" xfId="0" applyFill="1" applyBorder="1" applyAlignment="1">
      <alignment horizontal="center"/>
    </xf>
    <xf numFmtId="0" fontId="0" fillId="6" borderId="25" xfId="0" applyFill="1" applyBorder="1" applyAlignment="1">
      <alignment horizontal="center"/>
    </xf>
    <xf numFmtId="0" fontId="0" fillId="2" borderId="76" xfId="0" applyFill="1" applyBorder="1" applyAlignment="1">
      <alignment horizontal="center"/>
    </xf>
    <xf numFmtId="0" fontId="0" fillId="3" borderId="25" xfId="0" applyFill="1" applyBorder="1" applyAlignment="1">
      <alignment horizontal="center"/>
    </xf>
    <xf numFmtId="0" fontId="0" fillId="11" borderId="25" xfId="0" applyFill="1" applyBorder="1" applyAlignment="1">
      <alignment horizontal="center"/>
    </xf>
    <xf numFmtId="0" fontId="0" fillId="7" borderId="76" xfId="0" applyFill="1" applyBorder="1" applyAlignment="1">
      <alignment horizontal="center"/>
    </xf>
    <xf numFmtId="0" fontId="0" fillId="0" borderId="56" xfId="0" applyBorder="1" applyAlignment="1">
      <alignment horizontal="left" vertical="center"/>
    </xf>
    <xf numFmtId="0" fontId="0" fillId="0" borderId="38" xfId="0" applyBorder="1" applyAlignment="1">
      <alignment horizontal="left"/>
    </xf>
    <xf numFmtId="0" fontId="0" fillId="0" borderId="37" xfId="0" applyBorder="1" applyAlignment="1">
      <alignment horizontal="left"/>
    </xf>
    <xf numFmtId="0" fontId="0" fillId="0" borderId="21" xfId="0" applyBorder="1" applyAlignment="1">
      <alignment horizontal="left"/>
    </xf>
    <xf numFmtId="1" fontId="0" fillId="0" borderId="13" xfId="1" applyNumberFormat="1" applyFont="1" applyBorder="1" applyAlignment="1">
      <alignment horizontal="center"/>
    </xf>
    <xf numFmtId="0" fontId="11" fillId="0" borderId="88" xfId="0" applyFont="1" applyBorder="1" applyAlignment="1">
      <alignment horizontal="center" vertical="center" wrapText="1"/>
    </xf>
    <xf numFmtId="0" fontId="11" fillId="0" borderId="89" xfId="0" applyFont="1" applyBorder="1" applyAlignment="1">
      <alignment horizontal="center" vertical="center" wrapText="1"/>
    </xf>
    <xf numFmtId="0" fontId="11" fillId="0" borderId="90" xfId="0" applyFont="1" applyBorder="1" applyAlignment="1">
      <alignment horizontal="center" vertical="center" wrapText="1"/>
    </xf>
    <xf numFmtId="0" fontId="12" fillId="0" borderId="89" xfId="0" applyFont="1" applyBorder="1" applyAlignment="1">
      <alignment horizontal="center" vertical="center" wrapText="1"/>
    </xf>
    <xf numFmtId="0" fontId="12" fillId="0" borderId="90" xfId="0" applyFont="1" applyBorder="1" applyAlignment="1">
      <alignment horizontal="center" vertical="center" wrapText="1"/>
    </xf>
    <xf numFmtId="0" fontId="12" fillId="0" borderId="91" xfId="0" applyFont="1" applyBorder="1" applyAlignment="1">
      <alignment horizontal="center" vertical="center" wrapText="1"/>
    </xf>
    <xf numFmtId="0" fontId="12" fillId="0" borderId="92" xfId="0" applyFont="1" applyBorder="1" applyAlignment="1">
      <alignment horizontal="center" vertical="center" wrapText="1"/>
    </xf>
    <xf numFmtId="0" fontId="12" fillId="0" borderId="93" xfId="0" applyFont="1" applyBorder="1" applyAlignment="1">
      <alignment horizontal="center" vertical="center" wrapText="1"/>
    </xf>
    <xf numFmtId="164" fontId="12" fillId="0" borderId="93" xfId="0" applyNumberFormat="1" applyFont="1" applyBorder="1" applyAlignment="1">
      <alignment horizontal="center" vertical="center" wrapText="1"/>
    </xf>
    <xf numFmtId="0" fontId="12" fillId="0" borderId="94" xfId="0" applyFont="1" applyBorder="1" applyAlignment="1">
      <alignment horizontal="center" vertical="center" wrapText="1"/>
    </xf>
    <xf numFmtId="16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95" xfId="0" applyFont="1" applyBorder="1" applyAlignment="1">
      <alignment horizontal="center" vertical="center" wrapText="1"/>
    </xf>
    <xf numFmtId="9" fontId="0" fillId="0" borderId="22" xfId="0" applyNumberFormat="1" applyBorder="1" applyAlignment="1">
      <alignment horizontal="center"/>
    </xf>
    <xf numFmtId="9" fontId="0" fillId="0" borderId="20" xfId="0" applyNumberFormat="1" applyBorder="1" applyAlignment="1">
      <alignment horizontal="center"/>
    </xf>
    <xf numFmtId="9" fontId="0" fillId="0" borderId="35" xfId="0" applyNumberFormat="1" applyBorder="1" applyAlignment="1">
      <alignment horizontal="center"/>
    </xf>
    <xf numFmtId="9" fontId="0" fillId="0" borderId="22" xfId="2" applyFont="1" applyBorder="1" applyAlignment="1">
      <alignment horizontal="center"/>
    </xf>
    <xf numFmtId="9" fontId="0" fillId="0" borderId="20" xfId="2" applyFont="1" applyBorder="1" applyAlignment="1">
      <alignment horizontal="center"/>
    </xf>
    <xf numFmtId="9" fontId="0" fillId="0" borderId="35" xfId="2" applyFont="1" applyBorder="1" applyAlignment="1">
      <alignment horizontal="center"/>
    </xf>
    <xf numFmtId="0" fontId="0" fillId="0" borderId="50" xfId="0" applyBorder="1" applyAlignment="1">
      <alignment horizontal="center"/>
    </xf>
    <xf numFmtId="0" fontId="0" fillId="0" borderId="4" xfId="0" applyBorder="1" applyAlignment="1">
      <alignment horizontal="left"/>
    </xf>
    <xf numFmtId="0" fontId="0" fillId="0" borderId="0" xfId="0" applyBorder="1" applyAlignment="1">
      <alignment horizontal="left"/>
    </xf>
    <xf numFmtId="0" fontId="0" fillId="0" borderId="28" xfId="0" applyBorder="1" applyAlignment="1">
      <alignment horizontal="left"/>
    </xf>
    <xf numFmtId="0" fontId="0" fillId="0" borderId="30" xfId="0" applyBorder="1" applyAlignment="1">
      <alignment horizontal="left"/>
    </xf>
    <xf numFmtId="0" fontId="0" fillId="0" borderId="39" xfId="0" applyBorder="1" applyAlignment="1">
      <alignment horizontal="left"/>
    </xf>
    <xf numFmtId="0" fontId="0" fillId="0" borderId="33" xfId="0" applyBorder="1" applyAlignment="1">
      <alignment horizontal="left"/>
    </xf>
    <xf numFmtId="9" fontId="13" fillId="0" borderId="38" xfId="0" applyNumberFormat="1" applyFont="1" applyBorder="1" applyAlignment="1">
      <alignment horizontal="center"/>
    </xf>
    <xf numFmtId="0" fontId="13" fillId="0" borderId="21" xfId="0" applyFont="1" applyBorder="1" applyAlignment="1">
      <alignment horizontal="center"/>
    </xf>
    <xf numFmtId="9" fontId="13" fillId="0" borderId="20" xfId="0" applyNumberFormat="1" applyFont="1" applyBorder="1" applyAlignment="1">
      <alignment horizontal="center"/>
    </xf>
    <xf numFmtId="0" fontId="13" fillId="0" borderId="35" xfId="0" applyFont="1" applyBorder="1" applyAlignment="1">
      <alignment horizontal="center"/>
    </xf>
    <xf numFmtId="0" fontId="15" fillId="0" borderId="21" xfId="0" applyFont="1" applyBorder="1"/>
    <xf numFmtId="0" fontId="13" fillId="0" borderId="0" xfId="0" applyFont="1"/>
    <xf numFmtId="0" fontId="14" fillId="0" borderId="39" xfId="0" applyFont="1" applyBorder="1"/>
    <xf numFmtId="2" fontId="0" fillId="0" borderId="12" xfId="2" applyNumberFormat="1" applyFont="1" applyBorder="1" applyAlignment="1">
      <alignment horizontal="center"/>
    </xf>
    <xf numFmtId="0" fontId="15" fillId="0" borderId="37" xfId="0" applyFont="1" applyBorder="1" applyAlignment="1"/>
    <xf numFmtId="0" fontId="15" fillId="0" borderId="38" xfId="0" applyFont="1" applyBorder="1" applyAlignment="1"/>
    <xf numFmtId="0" fontId="15" fillId="0" borderId="28" xfId="0" applyFont="1" applyBorder="1" applyAlignment="1"/>
    <xf numFmtId="0" fontId="15" fillId="0" borderId="21" xfId="0" applyFont="1" applyBorder="1" applyAlignment="1"/>
    <xf numFmtId="9" fontId="15" fillId="0" borderId="37" xfId="0" applyNumberFormat="1" applyFont="1" applyBorder="1" applyAlignment="1">
      <alignment horizontal="center"/>
    </xf>
    <xf numFmtId="0" fontId="15" fillId="0" borderId="38" xfId="0" applyFont="1" applyBorder="1" applyAlignment="1">
      <alignment horizontal="center"/>
    </xf>
    <xf numFmtId="9" fontId="15" fillId="0" borderId="38" xfId="0" applyNumberFormat="1" applyFont="1" applyBorder="1" applyAlignment="1">
      <alignment horizontal="center"/>
    </xf>
    <xf numFmtId="0" fontId="15" fillId="0" borderId="21" xfId="0" applyFont="1" applyBorder="1" applyAlignment="1">
      <alignment horizontal="center"/>
    </xf>
    <xf numFmtId="0" fontId="6" fillId="12" borderId="25" xfId="0" applyFont="1" applyFill="1" applyBorder="1"/>
    <xf numFmtId="0" fontId="0" fillId="3" borderId="25" xfId="0" applyFill="1" applyBorder="1"/>
    <xf numFmtId="0" fontId="0" fillId="11" borderId="25" xfId="0" applyFill="1" applyBorder="1"/>
    <xf numFmtId="0" fontId="0" fillId="6" borderId="25" xfId="0" applyFill="1" applyBorder="1"/>
    <xf numFmtId="0" fontId="0" fillId="7" borderId="76" xfId="0" applyFill="1" applyBorder="1"/>
    <xf numFmtId="0" fontId="0" fillId="0" borderId="34" xfId="0" applyBorder="1"/>
    <xf numFmtId="0" fontId="6" fillId="12" borderId="37" xfId="0" applyFont="1" applyFill="1" applyBorder="1" applyAlignment="1">
      <alignment horizontal="center"/>
    </xf>
    <xf numFmtId="0" fontId="0" fillId="0" borderId="96" xfId="0" applyBorder="1" applyAlignment="1">
      <alignment horizontal="center"/>
    </xf>
    <xf numFmtId="0" fontId="0" fillId="0" borderId="56" xfId="0" applyBorder="1" applyAlignment="1">
      <alignment horizontal="center"/>
    </xf>
    <xf numFmtId="9" fontId="0" fillId="0" borderId="4" xfId="2" applyFont="1" applyBorder="1" applyAlignment="1" applyProtection="1">
      <alignment horizontal="center" vertical="center"/>
    </xf>
    <xf numFmtId="9" fontId="0" fillId="0" borderId="6" xfId="2" applyFont="1" applyBorder="1" applyAlignment="1" applyProtection="1">
      <alignment horizontal="center" vertical="center"/>
    </xf>
    <xf numFmtId="17" fontId="0" fillId="0" borderId="24" xfId="0" applyNumberFormat="1" applyFont="1" applyBorder="1" applyAlignment="1">
      <alignment horizontal="center"/>
    </xf>
    <xf numFmtId="17" fontId="0" fillId="0" borderId="28" xfId="0" applyNumberFormat="1" applyBorder="1" applyAlignment="1">
      <alignment horizontal="center"/>
    </xf>
    <xf numFmtId="9" fontId="0" fillId="0" borderId="4" xfId="2" applyFont="1" applyBorder="1" applyAlignment="1">
      <alignment horizontal="center" vertical="center"/>
    </xf>
    <xf numFmtId="9" fontId="0" fillId="0" borderId="6" xfId="2" applyFont="1" applyBorder="1" applyAlignment="1">
      <alignment horizontal="center" vertical="center"/>
    </xf>
    <xf numFmtId="0" fontId="0" fillId="0" borderId="0" xfId="0" applyAlignment="1">
      <alignment vertical="center" wrapText="1"/>
    </xf>
    <xf numFmtId="0" fontId="0" fillId="0" borderId="28" xfId="0" applyBorder="1" applyAlignment="1">
      <alignment vertical="center" wrapText="1"/>
    </xf>
    <xf numFmtId="0" fontId="16" fillId="0" borderId="20" xfId="3" applyBorder="1" applyAlignment="1">
      <alignment vertical="center" wrapText="1"/>
    </xf>
    <xf numFmtId="0" fontId="0" fillId="0" borderId="38" xfId="0" applyBorder="1" applyAlignment="1"/>
    <xf numFmtId="0" fontId="0" fillId="0" borderId="0" xfId="0" applyAlignment="1"/>
    <xf numFmtId="2" fontId="0" fillId="0" borderId="20" xfId="2" applyNumberFormat="1" applyFont="1" applyBorder="1" applyAlignment="1">
      <alignment horizontal="center" vertical="center"/>
    </xf>
    <xf numFmtId="0" fontId="0" fillId="0" borderId="0" xfId="0" applyAlignment="1">
      <alignment vertical="center"/>
    </xf>
    <xf numFmtId="17" fontId="0" fillId="0" borderId="0" xfId="0" applyNumberFormat="1" applyAlignment="1">
      <alignment horizontal="center"/>
    </xf>
    <xf numFmtId="0" fontId="17" fillId="0" borderId="4" xfId="0" applyFont="1" applyBorder="1" applyAlignment="1">
      <alignment horizontal="center"/>
    </xf>
    <xf numFmtId="17" fontId="18" fillId="0" borderId="12" xfId="0" applyNumberFormat="1"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2" xfId="0" applyFont="1" applyBorder="1" applyAlignment="1">
      <alignment vertical="center"/>
    </xf>
    <xf numFmtId="0" fontId="5" fillId="0" borderId="0" xfId="0" applyFont="1" applyBorder="1" applyAlignment="1">
      <alignment horizontal="left" vertical="center" wrapText="1"/>
    </xf>
    <xf numFmtId="0" fontId="0" fillId="5" borderId="97" xfId="0" applyFill="1" applyBorder="1" applyAlignment="1">
      <alignment horizontal="center"/>
    </xf>
    <xf numFmtId="0" fontId="6" fillId="12" borderId="9" xfId="0" applyFont="1" applyFill="1" applyBorder="1" applyAlignment="1">
      <alignment horizontal="center"/>
    </xf>
    <xf numFmtId="0" fontId="6" fillId="12" borderId="10" xfId="0" applyFont="1" applyFill="1" applyBorder="1" applyAlignment="1">
      <alignment horizontal="center"/>
    </xf>
    <xf numFmtId="0" fontId="6" fillId="12" borderId="4" xfId="0" applyFont="1" applyFill="1" applyBorder="1" applyAlignment="1">
      <alignment horizontal="center"/>
    </xf>
    <xf numFmtId="0" fontId="6" fillId="12" borderId="0" xfId="0" applyFont="1" applyFill="1" applyBorder="1" applyAlignment="1">
      <alignment horizontal="center"/>
    </xf>
    <xf numFmtId="0" fontId="6" fillId="12" borderId="51" xfId="0" applyFont="1" applyFill="1" applyBorder="1" applyAlignment="1">
      <alignment horizontal="center"/>
    </xf>
    <xf numFmtId="0" fontId="6" fillId="12" borderId="52" xfId="0" applyFont="1" applyFill="1" applyBorder="1" applyAlignment="1">
      <alignment horizontal="center"/>
    </xf>
    <xf numFmtId="0" fontId="11" fillId="0" borderId="87" xfId="0" applyFont="1" applyBorder="1" applyAlignment="1">
      <alignment horizontal="center" vertical="center" wrapText="1"/>
    </xf>
    <xf numFmtId="0" fontId="0" fillId="0" borderId="0" xfId="0"/>
    <xf numFmtId="0" fontId="0" fillId="0" borderId="12" xfId="0" applyFill="1" applyBorder="1"/>
    <xf numFmtId="9" fontId="0" fillId="0" borderId="20" xfId="2" applyFont="1" applyBorder="1" applyAlignment="1">
      <alignment horizontal="center" vertical="center"/>
    </xf>
    <xf numFmtId="1" fontId="0" fillId="0" borderId="35" xfId="2" applyNumberFormat="1" applyFont="1" applyBorder="1" applyAlignment="1">
      <alignment horizontal="center" vertical="center"/>
    </xf>
    <xf numFmtId="9" fontId="24" fillId="8" borderId="99" xfId="9" applyNumberFormat="1" applyFont="1" applyFill="1" applyBorder="1" applyAlignment="1">
      <alignment horizontal="center" vertical="center"/>
    </xf>
    <xf numFmtId="9" fontId="24" fillId="8" borderId="100" xfId="9" applyNumberFormat="1" applyFont="1" applyFill="1" applyBorder="1" applyAlignment="1">
      <alignment horizontal="center" vertical="center"/>
    </xf>
    <xf numFmtId="9" fontId="24" fillId="8" borderId="101" xfId="9" applyNumberFormat="1" applyFont="1" applyFill="1" applyBorder="1" applyAlignment="1">
      <alignment horizontal="center" vertical="center"/>
    </xf>
    <xf numFmtId="17" fontId="0" fillId="0" borderId="32" xfId="0" applyNumberFormat="1" applyBorder="1" applyAlignment="1">
      <alignment horizontal="center"/>
    </xf>
    <xf numFmtId="1" fontId="0" fillId="0" borderId="20" xfId="2" applyNumberFormat="1" applyFont="1" applyBorder="1" applyAlignment="1">
      <alignment horizontal="center" vertical="center"/>
    </xf>
    <xf numFmtId="0" fontId="6" fillId="12" borderId="9" xfId="0" applyFont="1" applyFill="1" applyBorder="1" applyAlignment="1">
      <alignment horizontal="center"/>
    </xf>
    <xf numFmtId="0" fontId="6" fillId="12" borderId="10" xfId="0" applyFont="1" applyFill="1" applyBorder="1" applyAlignment="1">
      <alignment horizontal="center"/>
    </xf>
    <xf numFmtId="0" fontId="8" fillId="0" borderId="7" xfId="0" applyFont="1" applyBorder="1" applyAlignment="1">
      <alignment horizontal="center" vertical="center"/>
    </xf>
    <xf numFmtId="0" fontId="6" fillId="12" borderId="22" xfId="0" applyFont="1" applyFill="1" applyBorder="1" applyAlignment="1">
      <alignment horizontal="center"/>
    </xf>
    <xf numFmtId="0" fontId="6" fillId="12" borderId="23" xfId="0" applyFont="1" applyFill="1" applyBorder="1" applyAlignment="1">
      <alignment horizontal="center"/>
    </xf>
    <xf numFmtId="0" fontId="6" fillId="12" borderId="24" xfId="0" applyFont="1" applyFill="1" applyBorder="1" applyAlignment="1">
      <alignment horizontal="center"/>
    </xf>
    <xf numFmtId="0" fontId="6" fillId="12" borderId="44" xfId="0" applyFont="1" applyFill="1" applyBorder="1" applyAlignment="1">
      <alignment horizontal="center"/>
    </xf>
    <xf numFmtId="0" fontId="6" fillId="12" borderId="45" xfId="0" applyFont="1" applyFill="1" applyBorder="1" applyAlignment="1">
      <alignment horizontal="center"/>
    </xf>
    <xf numFmtId="0" fontId="6" fillId="12" borderId="46" xfId="0" applyFont="1" applyFill="1" applyBorder="1" applyAlignment="1">
      <alignment horizontal="center"/>
    </xf>
    <xf numFmtId="0" fontId="9" fillId="14" borderId="0" xfId="0" applyFont="1" applyFill="1" applyAlignment="1">
      <alignment horizontal="center" vertical="center"/>
    </xf>
    <xf numFmtId="0" fontId="8" fillId="0" borderId="0" xfId="0" applyFont="1" applyBorder="1" applyAlignment="1">
      <alignment horizontal="center" vertical="center"/>
    </xf>
    <xf numFmtId="0" fontId="6" fillId="13" borderId="0" xfId="0" applyFont="1" applyFill="1" applyAlignment="1">
      <alignment horizontal="center" vertical="center"/>
    </xf>
    <xf numFmtId="0" fontId="6" fillId="13" borderId="0" xfId="0" applyFont="1" applyFill="1" applyAlignment="1">
      <alignment horizontal="center" vertical="center" wrapText="1"/>
    </xf>
    <xf numFmtId="0" fontId="6" fillId="12" borderId="4" xfId="0" applyFont="1" applyFill="1" applyBorder="1" applyAlignment="1">
      <alignment horizontal="center"/>
    </xf>
    <xf numFmtId="0" fontId="6" fillId="12" borderId="0" xfId="0" applyFont="1" applyFill="1" applyBorder="1" applyAlignment="1">
      <alignment horizontal="center"/>
    </xf>
    <xf numFmtId="0" fontId="6" fillId="12" borderId="11" xfId="0" applyFont="1" applyFill="1" applyBorder="1" applyAlignment="1">
      <alignment horizontal="center"/>
    </xf>
    <xf numFmtId="0" fontId="6" fillId="12" borderId="50" xfId="0" applyFont="1" applyFill="1" applyBorder="1" applyAlignment="1">
      <alignment horizontal="center"/>
    </xf>
    <xf numFmtId="0" fontId="6" fillId="12" borderId="51" xfId="0" applyFont="1" applyFill="1" applyBorder="1" applyAlignment="1">
      <alignment horizontal="center"/>
    </xf>
    <xf numFmtId="0" fontId="6" fillId="12" borderId="52" xfId="0" applyFont="1" applyFill="1" applyBorder="1" applyAlignment="1">
      <alignment horizontal="center"/>
    </xf>
    <xf numFmtId="0" fontId="0" fillId="0" borderId="0" xfId="0"/>
    <xf numFmtId="0" fontId="19" fillId="0" borderId="0" xfId="4" applyAlignment="1">
      <alignment wrapText="1"/>
    </xf>
    <xf numFmtId="0" fontId="1" fillId="0" borderId="35" xfId="4" applyFont="1" applyBorder="1" applyAlignment="1">
      <alignment horizontal="center" vertical="center" wrapText="1"/>
    </xf>
    <xf numFmtId="0" fontId="19" fillId="0" borderId="39" xfId="4" applyBorder="1" applyAlignment="1">
      <alignment horizontal="center" vertical="center" wrapText="1"/>
    </xf>
    <xf numFmtId="0" fontId="19" fillId="0" borderId="33" xfId="4" applyBorder="1" applyAlignment="1">
      <alignment horizontal="center" vertical="center" wrapText="1"/>
    </xf>
    <xf numFmtId="0" fontId="19" fillId="0" borderId="0" xfId="4"/>
    <xf numFmtId="0" fontId="20" fillId="0" borderId="0" xfId="5" applyFont="1" applyFill="1" applyAlignment="1">
      <alignment horizontal="center" vertical="center" wrapText="1"/>
    </xf>
    <xf numFmtId="0" fontId="7" fillId="12" borderId="50" xfId="0" applyFont="1" applyFill="1" applyBorder="1" applyAlignment="1">
      <alignment horizontal="center"/>
    </xf>
    <xf numFmtId="0" fontId="7" fillId="12" borderId="51" xfId="0" applyFont="1" applyFill="1" applyBorder="1" applyAlignment="1">
      <alignment horizontal="center"/>
    </xf>
    <xf numFmtId="0" fontId="7" fillId="12" borderId="52" xfId="0" applyFont="1" applyFill="1" applyBorder="1" applyAlignment="1">
      <alignment horizontal="center"/>
    </xf>
    <xf numFmtId="0" fontId="21" fillId="16" borderId="0" xfId="5" applyAlignment="1">
      <alignment wrapText="1"/>
    </xf>
    <xf numFmtId="0" fontId="20" fillId="0" borderId="0" xfId="5" applyFont="1" applyFill="1" applyAlignment="1">
      <alignment horizontal="center" vertical="center"/>
    </xf>
    <xf numFmtId="0" fontId="23" fillId="0" borderId="0" xfId="5" applyFont="1" applyFill="1" applyAlignment="1">
      <alignment wrapText="1"/>
    </xf>
    <xf numFmtId="0" fontId="21" fillId="0" borderId="0" xfId="5" applyFill="1" applyAlignment="1">
      <alignment wrapText="1"/>
    </xf>
    <xf numFmtId="0" fontId="1" fillId="0" borderId="4" xfId="4" applyFont="1" applyBorder="1" applyAlignment="1">
      <alignment horizontal="center" vertical="center" wrapText="1"/>
    </xf>
    <xf numFmtId="0" fontId="19" fillId="0" borderId="0" xfId="4" applyAlignment="1">
      <alignment horizontal="center" vertical="center" wrapText="1"/>
    </xf>
    <xf numFmtId="0" fontId="19" fillId="0" borderId="5" xfId="4" applyBorder="1" applyAlignment="1">
      <alignment horizontal="center" vertical="center" wrapText="1"/>
    </xf>
    <xf numFmtId="0" fontId="15" fillId="0" borderId="20" xfId="0" applyFont="1" applyBorder="1" applyAlignment="1">
      <alignment wrapText="1"/>
    </xf>
    <xf numFmtId="0" fontId="15" fillId="0" borderId="0" xfId="0" applyFont="1" applyBorder="1" applyAlignment="1">
      <alignment wrapText="1"/>
    </xf>
    <xf numFmtId="0" fontId="15" fillId="0" borderId="28" xfId="0" applyFont="1" applyBorder="1" applyAlignment="1">
      <alignment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8" xfId="0" applyBorder="1" applyAlignment="1">
      <alignment horizontal="center" vertical="center" wrapText="1"/>
    </xf>
    <xf numFmtId="0" fontId="16" fillId="0" borderId="20" xfId="3" applyBorder="1" applyAlignment="1">
      <alignment horizontal="center" vertical="center" wrapText="1"/>
    </xf>
    <xf numFmtId="0" fontId="0" fillId="0" borderId="35" xfId="0" applyBorder="1" applyAlignment="1">
      <alignment horizontal="center" vertical="center" wrapText="1"/>
    </xf>
    <xf numFmtId="0" fontId="0" fillId="0" borderId="39" xfId="0" applyBorder="1" applyAlignment="1">
      <alignment horizontal="center" vertical="center" wrapText="1"/>
    </xf>
    <xf numFmtId="0" fontId="0" fillId="0" borderId="33" xfId="0" applyBorder="1" applyAlignment="1">
      <alignment horizontal="center" vertical="center" wrapText="1"/>
    </xf>
    <xf numFmtId="0" fontId="7" fillId="12" borderId="23" xfId="0" applyFont="1" applyFill="1" applyBorder="1" applyAlignment="1">
      <alignment horizontal="center"/>
    </xf>
    <xf numFmtId="0" fontId="11" fillId="0" borderId="86" xfId="0" applyFont="1" applyBorder="1" applyAlignment="1">
      <alignment horizontal="center" vertical="center" wrapText="1"/>
    </xf>
    <xf numFmtId="0" fontId="10" fillId="0" borderId="86" xfId="0" applyFont="1" applyBorder="1" applyAlignment="1">
      <alignment horizontal="center" vertical="center"/>
    </xf>
    <xf numFmtId="0" fontId="11" fillId="0" borderId="87" xfId="0" applyFont="1" applyBorder="1" applyAlignment="1">
      <alignment horizontal="center" vertical="center" wrapText="1"/>
    </xf>
    <xf numFmtId="0" fontId="0" fillId="0" borderId="0" xfId="0" applyAlignment="1">
      <alignment horizontal="left" vertical="center" wrapText="1"/>
    </xf>
    <xf numFmtId="49" fontId="27" fillId="17" borderId="102" xfId="12" applyNumberFormat="1" applyFont="1" applyFill="1" applyBorder="1" applyAlignment="1">
      <alignment horizontal="center" vertical="center" wrapText="1"/>
    </xf>
    <xf numFmtId="0" fontId="27" fillId="17" borderId="102" xfId="12" applyFont="1" applyFill="1" applyBorder="1" applyAlignment="1">
      <alignment horizontal="center" vertical="center"/>
    </xf>
    <xf numFmtId="0" fontId="28" fillId="18" borderId="102" xfId="12" applyFont="1" applyFill="1" applyBorder="1" applyAlignment="1">
      <alignment horizontal="center" vertical="center"/>
    </xf>
    <xf numFmtId="0" fontId="27" fillId="17" borderId="102" xfId="12" applyFont="1" applyFill="1" applyBorder="1" applyAlignment="1">
      <alignment horizontal="center" vertical="center" wrapText="1"/>
    </xf>
    <xf numFmtId="49" fontId="24" fillId="17" borderId="102" xfId="12" applyNumberFormat="1" applyFont="1" applyFill="1" applyBorder="1" applyAlignment="1">
      <alignment horizontal="center" vertical="center" wrapText="1"/>
    </xf>
    <xf numFmtId="9" fontId="21" fillId="19" borderId="0" xfId="5" applyNumberFormat="1" applyFill="1" applyAlignment="1">
      <alignment wrapText="1"/>
    </xf>
    <xf numFmtId="0" fontId="21" fillId="4" borderId="0" xfId="8" applyFont="1" applyFill="1" applyAlignment="1">
      <alignment horizontal="center" vertical="center" wrapText="1"/>
    </xf>
    <xf numFmtId="9" fontId="21" fillId="4" borderId="0" xfId="8" applyNumberFormat="1" applyFont="1" applyFill="1" applyAlignment="1">
      <alignment horizontal="center" vertical="center" wrapText="1"/>
    </xf>
    <xf numFmtId="0" fontId="22" fillId="5" borderId="0" xfId="8" applyFill="1" applyAlignment="1">
      <alignment horizontal="center" vertical="center" wrapText="1"/>
    </xf>
    <xf numFmtId="9" fontId="30" fillId="5" borderId="0" xfId="8" applyNumberFormat="1" applyFont="1" applyFill="1" applyAlignment="1">
      <alignment horizontal="center" vertical="center" wrapText="1"/>
    </xf>
    <xf numFmtId="0" fontId="21" fillId="19" borderId="0" xfId="5" applyFill="1" applyAlignment="1">
      <alignment wrapText="1"/>
    </xf>
    <xf numFmtId="0" fontId="1" fillId="0" borderId="0" xfId="13" applyFont="1" applyAlignment="1">
      <alignment horizontal="left" vertical="center" wrapText="1"/>
    </xf>
    <xf numFmtId="0" fontId="29" fillId="0" borderId="0" xfId="13" applyAlignment="1">
      <alignment horizontal="left" vertical="center" wrapText="1"/>
    </xf>
    <xf numFmtId="0" fontId="1" fillId="0" borderId="0" xfId="13" applyFont="1" applyAlignment="1">
      <alignment horizontal="center" wrapText="1"/>
    </xf>
    <xf numFmtId="0" fontId="20" fillId="0" borderId="0" xfId="13" applyFont="1" applyAlignment="1">
      <alignment horizontal="left" vertical="center"/>
    </xf>
    <xf numFmtId="0" fontId="29" fillId="0" borderId="0" xfId="13" applyAlignment="1">
      <alignment wrapText="1"/>
    </xf>
    <xf numFmtId="0" fontId="1" fillId="0" borderId="0" xfId="6" applyFont="1" applyAlignment="1">
      <alignment horizontal="center" vertical="center" wrapText="1"/>
    </xf>
    <xf numFmtId="0" fontId="1" fillId="0" borderId="0" xfId="13" applyFont="1" applyAlignment="1">
      <alignment wrapText="1"/>
    </xf>
    <xf numFmtId="0" fontId="1" fillId="0" borderId="0" xfId="13" applyFont="1" applyAlignment="1">
      <alignment horizontal="center" vertical="center" wrapText="1"/>
    </xf>
    <xf numFmtId="0" fontId="1" fillId="0" borderId="5" xfId="13" applyFont="1" applyBorder="1" applyAlignment="1">
      <alignment horizontal="center" vertical="center" wrapText="1"/>
    </xf>
    <xf numFmtId="0" fontId="29" fillId="0" borderId="0" xfId="13" applyAlignment="1">
      <alignment horizontal="center" vertical="center" wrapText="1"/>
    </xf>
    <xf numFmtId="0" fontId="29" fillId="0" borderId="5" xfId="13" applyBorder="1" applyAlignment="1">
      <alignment horizontal="center" vertical="center" wrapText="1"/>
    </xf>
    <xf numFmtId="9" fontId="1" fillId="8" borderId="103" xfId="13" applyNumberFormat="1" applyFont="1" applyFill="1" applyBorder="1" applyAlignment="1">
      <alignment horizontal="center" vertical="center" wrapText="1"/>
    </xf>
    <xf numFmtId="0" fontId="29" fillId="8" borderId="104" xfId="13" applyFill="1" applyBorder="1" applyAlignment="1">
      <alignment horizontal="center" vertical="center" wrapText="1"/>
    </xf>
    <xf numFmtId="0" fontId="29" fillId="8" borderId="98" xfId="13" applyFill="1" applyBorder="1" applyAlignment="1">
      <alignment horizontal="center" vertical="center" wrapText="1"/>
    </xf>
    <xf numFmtId="0" fontId="29" fillId="0" borderId="0" xfId="13" applyBorder="1" applyAlignment="1">
      <alignment wrapText="1"/>
    </xf>
    <xf numFmtId="0" fontId="26" fillId="0" borderId="4" xfId="13" applyFont="1" applyBorder="1" applyAlignment="1">
      <alignment horizontal="center" vertical="center" wrapText="1"/>
    </xf>
    <xf numFmtId="0" fontId="1" fillId="0" borderId="4" xfId="13" applyFont="1" applyBorder="1" applyAlignment="1">
      <alignment wrapText="1"/>
    </xf>
    <xf numFmtId="0" fontId="26" fillId="0" borderId="0" xfId="13" applyFont="1" applyAlignment="1">
      <alignment horizontal="center" vertical="center" wrapText="1"/>
    </xf>
    <xf numFmtId="0" fontId="26" fillId="0" borderId="5" xfId="13" applyFont="1" applyBorder="1" applyAlignment="1">
      <alignment horizontal="center" vertical="center" wrapText="1"/>
    </xf>
  </cellXfs>
  <cellStyles count="14">
    <cellStyle name="Accent6 2" xfId="5" xr:uid="{B9B6A8AF-6E05-435A-825B-AFA688750AF8}"/>
    <cellStyle name="Bad 2" xfId="8" xr:uid="{1DAD8B41-9158-4081-AD00-AA1F54722BF3}"/>
    <cellStyle name="Currency" xfId="1" builtinId="4"/>
    <cellStyle name="Hyperlink" xfId="3" builtinId="8"/>
    <cellStyle name="Hyperlink 2" xfId="6" xr:uid="{D27E0260-B5FD-47BD-8200-8B72462EB8DF}"/>
    <cellStyle name="Normal" xfId="0" builtinId="0"/>
    <cellStyle name="Normal 2" xfId="4" xr:uid="{FC8C303E-0694-4E84-A309-B2C09637BFBD}"/>
    <cellStyle name="Normal 3" xfId="9" xr:uid="{F370C44F-1511-4219-9299-2BF35DB46795}"/>
    <cellStyle name="Normal 4" xfId="10" xr:uid="{B9E6AA18-90FF-4414-8C3F-D3F15FA8B7C0}"/>
    <cellStyle name="Normal 5" xfId="12" xr:uid="{6CC5F69C-3F17-4A65-AEEA-E74366247430}"/>
    <cellStyle name="Normal 6" xfId="13" xr:uid="{73DD493E-CFAD-4DBA-91DF-8A743A5288A4}"/>
    <cellStyle name="Percent" xfId="2" builtinId="5"/>
    <cellStyle name="Percent 2" xfId="7" xr:uid="{A7301BA9-21F6-4E00-9F6D-9ACCBFC47B81}"/>
    <cellStyle name="Percent 3" xfId="11" xr:uid="{8A261197-D9A1-4185-AF18-50F270E822FE}"/>
  </cellStyles>
  <dxfs count="571">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ont>
        <color rgb="FF00B0F0"/>
      </font>
      <fill>
        <patternFill>
          <bgColor rgb="FF00B0F0"/>
        </patternFill>
      </fill>
    </dxf>
    <dxf>
      <fill>
        <patternFill>
          <bgColor rgb="FF0070C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00B0F0"/>
      </font>
      <fill>
        <patternFill>
          <bgColor rgb="FF00B0F0"/>
        </patternFill>
      </fill>
    </dxf>
    <dxf>
      <fill>
        <patternFill>
          <bgColor rgb="FF0070C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
      <font>
        <color rgb="FF92D050"/>
      </font>
      <fill>
        <patternFill>
          <bgColor rgb="FF92D050"/>
        </patternFill>
      </fill>
    </dxf>
    <dxf>
      <font>
        <color rgb="FFFF0000"/>
      </font>
      <fill>
        <patternFill>
          <bgColor rgb="FFFF0000"/>
        </patternFill>
      </fill>
    </dxf>
    <dxf>
      <font>
        <color theme="0" tint="-0.14996795556505021"/>
      </font>
      <fill>
        <patternFill>
          <bgColor theme="0" tint="-0.14996795556505021"/>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theme="0"/>
      </font>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00B0F0"/>
      </font>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https://egi.ui.argo.grnet.gr/egi/report-ar-dates-2/OPS-MONITOR-Critical/SITES/GRIDOPS-CVMFS?start_date=2021-04-01&amp;end_date=2021-06-30" TargetMode="External"/><Relationship Id="rId2" Type="http://schemas.openxmlformats.org/officeDocument/2006/relationships/hyperlink" Target="https://egi.ui.argo.grnet.gr/egi/report-ar-dates-2/OPS-MONITOR-Critical/SITES/GRIDOPS-APEL?start_date=2021-04-01&amp;end_date=2021-06-30" TargetMode="External"/><Relationship Id="rId1" Type="http://schemas.openxmlformats.org/officeDocument/2006/relationships/hyperlink" Target="https://egi.ui.argo.grnet.gr/egi/report-ar-dates-2/OPS-MONITOR-Critical/SITES/GRIDOPS-GOCDB?start_date=2021-04-01&amp;end_date=2021-06-30"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5AFA6-CDEF-4353-B6FE-54D77998436F}">
  <sheetPr>
    <pageSetUpPr fitToPage="1"/>
  </sheetPr>
  <dimension ref="B1:AR46"/>
  <sheetViews>
    <sheetView zoomScale="70" zoomScaleNormal="70" workbookViewId="0">
      <selection activeCell="AO18" sqref="AO18"/>
    </sheetView>
  </sheetViews>
  <sheetFormatPr defaultRowHeight="15"/>
  <cols>
    <col min="2" max="2" width="1.7109375" customWidth="1"/>
    <col min="3" max="8" width="5.28515625" style="207" customWidth="1"/>
    <col min="9" max="9" width="1.7109375" style="207" customWidth="1"/>
    <col min="10" max="15" width="5.28515625" style="207" customWidth="1"/>
    <col min="16" max="16" width="1.7109375" style="207" customWidth="1"/>
    <col min="17" max="22" width="5.28515625" style="207" customWidth="1"/>
    <col min="23" max="23" width="1.7109375" style="207" customWidth="1"/>
    <col min="24" max="29" width="5.28515625" style="207" customWidth="1"/>
    <col min="30" max="30" width="1.7109375" style="207" customWidth="1"/>
    <col min="31" max="35" width="5.28515625" style="207" customWidth="1"/>
    <col min="36" max="36" width="1.7109375" style="207" customWidth="1"/>
    <col min="37" max="37" width="5.28515625" style="207" customWidth="1"/>
    <col min="38" max="38" width="1.7109375" style="207" customWidth="1"/>
    <col min="39" max="44" width="5.28515625" style="207" customWidth="1"/>
  </cols>
  <sheetData>
    <row r="1" spans="2:43">
      <c r="C1" s="350" t="s">
        <v>0</v>
      </c>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c r="AO1" s="350"/>
      <c r="AP1" s="350"/>
      <c r="AQ1" s="350"/>
    </row>
    <row r="2" spans="2:43">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row>
    <row r="3" spans="2:43">
      <c r="V3" s="219"/>
    </row>
    <row r="4" spans="2:43">
      <c r="E4" s="220"/>
      <c r="F4" s="215"/>
      <c r="G4" s="215"/>
      <c r="H4" s="215"/>
      <c r="I4" s="215"/>
      <c r="J4" s="215"/>
      <c r="K4" s="215"/>
      <c r="L4" s="220"/>
      <c r="M4" s="215"/>
      <c r="N4" s="215"/>
      <c r="O4" s="215"/>
      <c r="P4" s="215"/>
      <c r="Q4" s="215"/>
      <c r="R4" s="215"/>
      <c r="S4" s="220"/>
      <c r="T4" s="215"/>
      <c r="U4" s="215"/>
      <c r="V4" s="217"/>
      <c r="W4" s="215"/>
      <c r="X4" s="215"/>
      <c r="Y4" s="215"/>
      <c r="Z4" s="221"/>
      <c r="AA4" s="215"/>
      <c r="AB4" s="215"/>
      <c r="AC4" s="215"/>
      <c r="AD4" s="215"/>
      <c r="AE4" s="215"/>
      <c r="AF4" s="215"/>
      <c r="AG4" s="220"/>
      <c r="AH4" s="215"/>
      <c r="AI4" s="215"/>
      <c r="AJ4" s="216"/>
      <c r="AK4" s="215"/>
      <c r="AL4" s="215"/>
      <c r="AM4" s="215"/>
      <c r="AN4" s="215"/>
      <c r="AO4" s="216"/>
    </row>
    <row r="5" spans="2:43">
      <c r="B5" s="223"/>
      <c r="C5" s="352" t="s">
        <v>1</v>
      </c>
      <c r="D5" s="352"/>
      <c r="E5" s="352"/>
      <c r="F5" s="352"/>
      <c r="G5" s="352"/>
      <c r="I5" s="227"/>
      <c r="J5" s="352" t="s">
        <v>2</v>
      </c>
      <c r="K5" s="352"/>
      <c r="L5" s="352"/>
      <c r="M5" s="352"/>
      <c r="N5" s="352"/>
      <c r="P5" s="227"/>
      <c r="Q5" s="352" t="s">
        <v>3</v>
      </c>
      <c r="R5" s="352"/>
      <c r="S5" s="352"/>
      <c r="T5" s="352"/>
      <c r="U5" s="352"/>
      <c r="W5" s="227"/>
      <c r="X5" s="352" t="s">
        <v>4</v>
      </c>
      <c r="Y5" s="352"/>
      <c r="Z5" s="352"/>
      <c r="AA5" s="352"/>
      <c r="AB5" s="352"/>
      <c r="AD5" s="227"/>
      <c r="AE5" s="353" t="s">
        <v>5</v>
      </c>
      <c r="AF5" s="353"/>
      <c r="AG5" s="353"/>
      <c r="AH5" s="353"/>
      <c r="AI5" s="353"/>
      <c r="AJ5" s="218"/>
      <c r="AL5" s="227"/>
      <c r="AM5" s="352" t="s">
        <v>6</v>
      </c>
      <c r="AN5" s="352"/>
      <c r="AO5" s="352"/>
      <c r="AP5" s="352"/>
      <c r="AQ5" s="352"/>
    </row>
    <row r="6" spans="2:43">
      <c r="B6" s="222"/>
      <c r="C6" s="352"/>
      <c r="D6" s="352"/>
      <c r="E6" s="352"/>
      <c r="F6" s="352"/>
      <c r="G6" s="352"/>
      <c r="I6" s="225"/>
      <c r="J6" s="352"/>
      <c r="K6" s="352"/>
      <c r="L6" s="352"/>
      <c r="M6" s="352"/>
      <c r="N6" s="352"/>
      <c r="P6" s="225"/>
      <c r="Q6" s="352"/>
      <c r="R6" s="352"/>
      <c r="S6" s="352"/>
      <c r="T6" s="352"/>
      <c r="U6" s="352"/>
      <c r="W6" s="225"/>
      <c r="X6" s="352"/>
      <c r="Y6" s="352"/>
      <c r="Z6" s="352"/>
      <c r="AA6" s="352"/>
      <c r="AB6" s="352"/>
      <c r="AD6" s="225"/>
      <c r="AE6" s="353"/>
      <c r="AF6" s="353"/>
      <c r="AG6" s="353"/>
      <c r="AH6" s="353"/>
      <c r="AI6" s="353"/>
      <c r="AJ6" s="218"/>
      <c r="AL6" s="225"/>
      <c r="AM6" s="352"/>
      <c r="AN6" s="352"/>
      <c r="AO6" s="352"/>
      <c r="AP6" s="352"/>
      <c r="AQ6" s="352"/>
    </row>
    <row r="7" spans="2:43">
      <c r="B7" s="222"/>
      <c r="I7" s="225"/>
      <c r="P7" s="225"/>
      <c r="W7" s="225"/>
      <c r="AD7" s="225"/>
      <c r="AJ7" s="218"/>
      <c r="AL7" s="225"/>
    </row>
    <row r="8" spans="2:43">
      <c r="B8" s="222"/>
      <c r="C8" s="351" t="s">
        <v>7</v>
      </c>
      <c r="D8" s="351"/>
      <c r="E8" s="351"/>
      <c r="F8" s="351"/>
      <c r="G8" s="351"/>
      <c r="I8" s="225"/>
      <c r="J8" s="343" t="s">
        <v>7</v>
      </c>
      <c r="K8" s="343"/>
      <c r="L8" s="343"/>
      <c r="M8" s="343"/>
      <c r="N8" s="343"/>
      <c r="P8" s="225"/>
      <c r="Q8" s="343" t="s">
        <v>7</v>
      </c>
      <c r="R8" s="343"/>
      <c r="S8" s="343"/>
      <c r="T8" s="343"/>
      <c r="U8" s="343"/>
      <c r="W8" s="225"/>
      <c r="X8" s="343" t="s">
        <v>7</v>
      </c>
      <c r="Y8" s="343"/>
      <c r="Z8" s="343"/>
      <c r="AA8" s="343"/>
      <c r="AB8" s="343"/>
      <c r="AD8" s="225"/>
      <c r="AE8" s="343" t="s">
        <v>7</v>
      </c>
      <c r="AF8" s="343"/>
      <c r="AG8" s="343"/>
      <c r="AH8" s="343"/>
      <c r="AI8" s="343"/>
      <c r="AJ8" s="218"/>
      <c r="AL8" s="225"/>
      <c r="AM8" s="343" t="s">
        <v>7</v>
      </c>
      <c r="AN8" s="343"/>
      <c r="AO8" s="343"/>
      <c r="AP8" s="343"/>
      <c r="AQ8" s="343"/>
    </row>
    <row r="9" spans="2:43">
      <c r="B9" s="222"/>
      <c r="C9" s="347" t="s">
        <v>8</v>
      </c>
      <c r="D9" s="348"/>
      <c r="E9" s="348"/>
      <c r="F9" s="348"/>
      <c r="G9" s="349"/>
      <c r="I9" s="225"/>
      <c r="J9" s="341" t="s">
        <v>8</v>
      </c>
      <c r="K9" s="342"/>
      <c r="L9" s="342"/>
      <c r="M9" s="342"/>
      <c r="N9" s="342"/>
      <c r="P9" s="225"/>
      <c r="Q9" s="341" t="s">
        <v>8</v>
      </c>
      <c r="R9" s="342"/>
      <c r="S9" s="342"/>
      <c r="T9" s="342"/>
      <c r="U9" s="342"/>
      <c r="W9" s="225"/>
      <c r="X9" s="341" t="s">
        <v>9</v>
      </c>
      <c r="Y9" s="342"/>
      <c r="Z9" s="342"/>
      <c r="AA9" s="342"/>
      <c r="AB9" s="342"/>
      <c r="AD9" s="225"/>
      <c r="AE9" s="341" t="s">
        <v>10</v>
      </c>
      <c r="AF9" s="342"/>
      <c r="AG9" s="342"/>
      <c r="AH9" s="342"/>
      <c r="AI9" s="342"/>
      <c r="AJ9" s="218"/>
      <c r="AL9" s="228"/>
      <c r="AM9" s="341" t="s">
        <v>11</v>
      </c>
      <c r="AN9" s="342"/>
      <c r="AO9" s="342"/>
      <c r="AP9" s="342"/>
      <c r="AQ9" s="342"/>
    </row>
    <row r="10" spans="2:43">
      <c r="B10" s="222"/>
      <c r="C10" s="245" t="str">
        <f>_xlfn.CONCAT(WP1a!$E$2, ".",WP1a!B6)</f>
        <v>1a.1</v>
      </c>
      <c r="D10" s="245" t="str">
        <f>_xlfn.CONCAT(WP1a!$E$2, ".",WP1a!B7)</f>
        <v>1a.2</v>
      </c>
      <c r="E10" s="245" t="str">
        <f>_xlfn.CONCAT(WP1a!$E$2, ".",WP1a!B8)</f>
        <v>1a.3</v>
      </c>
      <c r="F10" s="246" t="str">
        <f>_xlfn.CONCAT(WP1a!$E$2, ".",WP1a!B14)</f>
        <v>1a.9</v>
      </c>
      <c r="G10" s="245" t="str">
        <f>_xlfn.CONCAT(WP1a!$E$2, ".",WP1a!B15)</f>
        <v>1a.10</v>
      </c>
      <c r="I10" s="228"/>
      <c r="J10" s="245" t="str">
        <f>_xlfn.CONCAT(WP1b!$E$2, ".",WP1b!B6)</f>
        <v>1b.1</v>
      </c>
      <c r="K10" s="245" t="str">
        <f>_xlfn.CONCAT(WP1b!$E$2, ".",WP1b!B7)</f>
        <v>1b.2</v>
      </c>
      <c r="L10" s="245" t="str">
        <f>_xlfn.CONCAT(WP1b!$E$2, ".",WP1b!B8)</f>
        <v>1b.3</v>
      </c>
      <c r="M10" s="245" t="str">
        <f>_xlfn.CONCAT(WP1b!$E$2, ".",WP1b!B9)</f>
        <v>1b.4</v>
      </c>
      <c r="N10" s="245" t="str">
        <f>_xlfn.CONCAT(WP1b!$E$2, ".",WP1b!B10)</f>
        <v>1b.5</v>
      </c>
      <c r="P10" s="228"/>
      <c r="Q10" s="245" t="str">
        <f>_xlfn.CONCAT(WP1c!$E$2, ".",WP1c!B6)</f>
        <v>1c.1</v>
      </c>
      <c r="R10" s="245" t="str">
        <f>_xlfn.CONCAT(WP1c!$E$2, ".",WP1c!B7)</f>
        <v>1c.2</v>
      </c>
      <c r="S10" s="245" t="str">
        <f>_xlfn.CONCAT(WP1c!$E$2, ".",WP1c!B8)</f>
        <v>1c.3</v>
      </c>
      <c r="T10" s="245" t="str">
        <f>_xlfn.CONCAT(WP1c!$E$2, ".",WP1c!B9)</f>
        <v>1c.4</v>
      </c>
      <c r="U10" s="245" t="str">
        <f>_xlfn.CONCAT(WP1c!$E$2, ".",WP1c!B10)</f>
        <v>1c.5</v>
      </c>
      <c r="W10" s="228"/>
      <c r="X10" s="246" t="str">
        <f>_xlfn.CONCAT('WP2'!$E$2, ".",'WP2'!B6)</f>
        <v>2.1</v>
      </c>
      <c r="Y10" s="246" t="str">
        <f>_xlfn.CONCAT('WP2'!$E$2, ".",'WP2'!B7)</f>
        <v>2.2</v>
      </c>
      <c r="Z10" s="245" t="str">
        <f>_xlfn.CONCAT('WP2'!$E$2, ".",'WP2'!B8)</f>
        <v>2.3</v>
      </c>
      <c r="AA10" s="246" t="str">
        <f>_xlfn.CONCAT('WP2'!$E$2, ".",'WP2'!B9)</f>
        <v>2.4</v>
      </c>
      <c r="AB10" s="245" t="str">
        <f>_xlfn.CONCAT('WP2'!$E$2, ".",'WP2'!B10)</f>
        <v>2.5</v>
      </c>
      <c r="AD10" s="228"/>
      <c r="AE10" s="245" t="str">
        <f>_xlfn.CONCAT('WP3'!$E$2, ".",'WP3'!B6)</f>
        <v>3.1</v>
      </c>
      <c r="AF10" s="245" t="str">
        <f>_xlfn.CONCAT('WP3'!$E$2, ".",'WP3'!B7)</f>
        <v>3.2</v>
      </c>
      <c r="AG10" s="245" t="str">
        <f>_xlfn.CONCAT('WP3'!$E$2, ".",'WP3'!B8)</f>
        <v>3.3</v>
      </c>
      <c r="AH10" s="245" t="str">
        <f>_xlfn.CONCAT('WP3'!$E$2, ".",'WP3'!B9)</f>
        <v>3.4</v>
      </c>
      <c r="AI10" s="245" t="str">
        <f>_xlfn.CONCAT('WP3'!$E$2, ".",'WP3'!B10)</f>
        <v>3.5</v>
      </c>
      <c r="AJ10" s="218"/>
      <c r="AL10" s="225"/>
      <c r="AM10" s="245" t="str">
        <f>_xlfn.CONCAT('WP5'!$E$2, ".",'WP5'!B8)</f>
        <v>5.3</v>
      </c>
      <c r="AN10" s="245" t="str">
        <f>_xlfn.CONCAT('WP5'!$E$2, ".",'WP5'!B9)</f>
        <v>5.4</v>
      </c>
      <c r="AO10" s="245" t="str">
        <f>_xlfn.CONCAT('WP5'!$E$2, ".",'WP5'!B12)</f>
        <v>5.7</v>
      </c>
      <c r="AP10" s="245" t="str">
        <f>_xlfn.CONCAT('WP5'!$E$2, ".",'WP5'!B13)</f>
        <v>5.8</v>
      </c>
      <c r="AQ10" s="245" t="str">
        <f>_xlfn.CONCAT('WP5'!$E$2, ".",'WP5'!B14)</f>
        <v>5.9</v>
      </c>
    </row>
    <row r="11" spans="2:43">
      <c r="B11" s="222"/>
      <c r="C11" s="245" t="str">
        <f>_xlfn.CONCAT(WP1a!$E$2, ".",WP1a!B16)</f>
        <v>1a.11</v>
      </c>
      <c r="D11" s="245" t="str">
        <f>_xlfn.CONCAT(WP1a!$E$2, ".",WP1a!B17)</f>
        <v>1a.12</v>
      </c>
      <c r="E11" s="245" t="str">
        <f>_xlfn.CONCAT(WP1a!$E$2, ".",WP1a!B18)</f>
        <v>1a.13</v>
      </c>
      <c r="F11" s="245" t="str">
        <f>_xlfn.CONCAT(WP1a!$E$2, ".",WP1a!B19)</f>
        <v>1a.14</v>
      </c>
      <c r="G11" s="245" t="str">
        <f>_xlfn.CONCAT(WP1a!$E$2, ".",WP1a!B20)</f>
        <v>1a.15</v>
      </c>
      <c r="I11" s="225"/>
      <c r="J11" s="245" t="str">
        <f>_xlfn.CONCAT(WP1b!$E$2, ".",WP1b!B11)</f>
        <v>1b.6</v>
      </c>
      <c r="K11" s="245" t="str">
        <f>_xlfn.CONCAT(WP1b!$E$2, ".",WP1b!B12)</f>
        <v>1b.7</v>
      </c>
      <c r="L11" s="245" t="str">
        <f>_xlfn.CONCAT(WP1b!$E$2, ".",WP1b!B13)</f>
        <v>1b.8</v>
      </c>
      <c r="M11" s="248"/>
      <c r="N11" s="248"/>
      <c r="P11" s="225"/>
      <c r="Q11" s="243" t="str">
        <f>_xlfn.CONCAT(WP1c!$E$2, ".",WP1c!B11)</f>
        <v>1c.6</v>
      </c>
      <c r="R11" s="245" t="str">
        <f>_xlfn.CONCAT(WP1c!$E$2, ".",WP1c!B12)</f>
        <v>1c.7</v>
      </c>
      <c r="S11" s="245" t="str">
        <f>_xlfn.CONCAT(WP1c!$E$2, ".",WP1c!B13)</f>
        <v>1c.8</v>
      </c>
      <c r="T11" s="243" t="str">
        <f>_xlfn.CONCAT(WP1c!$E$2, ".",WP1c!B14)</f>
        <v>1c.9</v>
      </c>
      <c r="U11" s="245" t="str">
        <f>_xlfn.CONCAT(WP1c!$E$2, ".",WP1c!B15)</f>
        <v>1c.10</v>
      </c>
      <c r="W11" s="225"/>
      <c r="X11" s="245" t="str">
        <f>_xlfn.CONCAT('WP2'!$E$2, ".",'WP2'!B11)</f>
        <v>2.6</v>
      </c>
      <c r="Y11" s="245" t="str">
        <f>_xlfn.CONCAT('WP2'!$E$2, ".",'WP2'!B12)</f>
        <v>2.7</v>
      </c>
      <c r="Z11" s="246" t="str">
        <f>_xlfn.CONCAT('WP2'!$E$2, ".",'WP2'!B13)</f>
        <v>2.8</v>
      </c>
      <c r="AA11" s="246" t="str">
        <f>_xlfn.CONCAT('WP2'!$E$2, ".",'WP2'!B14)</f>
        <v>2.9</v>
      </c>
      <c r="AB11" s="248"/>
      <c r="AD11" s="225"/>
      <c r="AE11" s="245" t="str">
        <f>_xlfn.CONCAT('WP3'!$E$2, ".",'WP3'!B11)</f>
        <v>3.6</v>
      </c>
      <c r="AF11" s="245" t="str">
        <f>_xlfn.CONCAT('WP3'!$E$2, ".",'WP3'!B12)</f>
        <v>3.7</v>
      </c>
      <c r="AG11" s="245" t="str">
        <f>_xlfn.CONCAT('WP3'!$E$2, ".",'WP3'!B13)</f>
        <v>3.8</v>
      </c>
      <c r="AH11" s="245" t="str">
        <f>_xlfn.CONCAT('WP3'!$E$2, ".",'WP3'!B14)</f>
        <v>3.9</v>
      </c>
      <c r="AI11" s="246" t="str">
        <f>_xlfn.CONCAT('WP3'!$E$2, ".",'WP3'!B15)</f>
        <v>3.10</v>
      </c>
      <c r="AJ11" s="218"/>
      <c r="AL11" s="225"/>
    </row>
    <row r="12" spans="2:43">
      <c r="B12" s="222"/>
      <c r="C12" s="243" t="str">
        <f>_xlfn.CONCAT(WP1a!$E$2, ".",WP1a!B21)</f>
        <v>1a.16</v>
      </c>
      <c r="D12" s="243" t="str">
        <f>_xlfn.CONCAT(WP1a!$E$2, ".",WP1a!B22)</f>
        <v>1a.17</v>
      </c>
      <c r="E12" s="245" t="str">
        <f>_xlfn.CONCAT(WP1a!$E$2, ".",WP1a!B23)</f>
        <v>1a.18</v>
      </c>
      <c r="F12" s="243" t="str">
        <f>_xlfn.CONCAT(WP1a!$E$2, ".",WP1a!B24)</f>
        <v>1a.19</v>
      </c>
      <c r="G12" s="243" t="str">
        <f>_xlfn.CONCAT(WP1a!$E$2, ".",WP1a!B25)</f>
        <v>1a.20</v>
      </c>
      <c r="I12" s="225"/>
      <c r="P12" s="225"/>
      <c r="W12" s="225"/>
      <c r="AD12" s="225"/>
      <c r="AE12" s="245" t="str">
        <f>_xlfn.CONCAT('WP3'!$E$2, ".",'WP3'!B16)</f>
        <v>3.11</v>
      </c>
      <c r="AF12" s="247" t="str">
        <f>_xlfn.CONCAT('WP3'!$E$2, ".",'WP3'!B18)</f>
        <v>3.13</v>
      </c>
      <c r="AG12" s="248"/>
      <c r="AH12" s="248"/>
      <c r="AI12" s="248"/>
      <c r="AJ12" s="218"/>
      <c r="AL12" s="228"/>
      <c r="AM12" s="341" t="s">
        <v>12</v>
      </c>
      <c r="AN12" s="342"/>
      <c r="AO12" s="342"/>
      <c r="AP12" s="342"/>
      <c r="AQ12" s="342"/>
    </row>
    <row r="13" spans="2:43">
      <c r="B13" s="222"/>
      <c r="C13" s="246" t="str">
        <f>_xlfn.CONCAT(WP1a!$E$2, ".",WP1a!B26)</f>
        <v>1a.21</v>
      </c>
      <c r="D13" s="245" t="str">
        <f>_xlfn.CONCAT(WP1a!$E$2, ".",WP1a!B27)</f>
        <v>1a.22</v>
      </c>
      <c r="E13" s="245" t="str">
        <f>_xlfn.CONCAT(WP1a!$E$2, ".",WP1a!B28)</f>
        <v>1a.23</v>
      </c>
      <c r="F13" s="248"/>
      <c r="G13" s="248"/>
      <c r="I13" s="225"/>
      <c r="P13" s="225"/>
      <c r="W13" s="225"/>
      <c r="X13" s="341" t="s">
        <v>13</v>
      </c>
      <c r="Y13" s="342"/>
      <c r="Z13" s="342"/>
      <c r="AA13" s="342"/>
      <c r="AB13" s="342"/>
      <c r="AD13" s="225"/>
      <c r="AJ13" s="218"/>
      <c r="AL13" s="225"/>
      <c r="AM13" s="245" t="str">
        <f>_xlfn.CONCAT('WP5'!$E$2, ".",'WP5'!B6)</f>
        <v>5.1</v>
      </c>
      <c r="AN13" s="243" t="str">
        <f>_xlfn.CONCAT('WP5'!$E$2, ".",'WP5'!B7)</f>
        <v>5.2</v>
      </c>
      <c r="AO13" s="246" t="str">
        <f>_xlfn.CONCAT('WP5'!$E$2, ".",'WP5'!B10)</f>
        <v>5.5</v>
      </c>
      <c r="AP13" s="245" t="str">
        <f>_xlfn.CONCAT('WP5'!$E$2, ".",'WP5'!B11)</f>
        <v>5.6</v>
      </c>
      <c r="AQ13" s="208"/>
    </row>
    <row r="14" spans="2:43">
      <c r="B14" s="222"/>
      <c r="C14" s="209"/>
      <c r="D14" s="209"/>
      <c r="E14" s="209"/>
      <c r="F14" s="209"/>
      <c r="G14" s="209"/>
      <c r="I14" s="225"/>
      <c r="P14" s="225"/>
      <c r="W14" s="228"/>
      <c r="X14" s="245" t="str">
        <f>_xlfn.CONCAT('WP2'!$E$2, ".",'WP2'!B15)</f>
        <v>2.10</v>
      </c>
      <c r="Y14" s="245" t="str">
        <f>_xlfn.CONCAT('WP2'!$E$2, ".",'WP2'!B16)</f>
        <v>2.11</v>
      </c>
      <c r="Z14" s="245" t="str">
        <f>_xlfn.CONCAT('WP2'!$E$2, ".",'WP2'!B17)</f>
        <v>2.12</v>
      </c>
      <c r="AA14" s="246" t="str">
        <f>_xlfn.CONCAT('WP2'!$E$2, ".",'WP2'!B18)</f>
        <v>2.13</v>
      </c>
      <c r="AB14" s="243" t="str">
        <f>_xlfn.CONCAT('WP2'!$E$2, ".",'WP2'!B19)</f>
        <v>2.14</v>
      </c>
      <c r="AD14" s="228"/>
      <c r="AE14" s="341" t="s">
        <v>14</v>
      </c>
      <c r="AF14" s="342"/>
      <c r="AG14" s="342"/>
      <c r="AH14" s="342"/>
      <c r="AI14" s="342"/>
      <c r="AJ14" s="218"/>
      <c r="AL14" s="225"/>
    </row>
    <row r="15" spans="2:43">
      <c r="B15" s="222"/>
      <c r="I15" s="225"/>
      <c r="P15" s="225"/>
      <c r="W15" s="225"/>
      <c r="X15" s="247" t="str">
        <f>_xlfn.CONCAT('WP2'!$E$2, ".",'WP2'!B20)</f>
        <v>2.15</v>
      </c>
      <c r="Y15" s="245" t="str">
        <f>_xlfn.CONCAT('WP2'!$E$2, ".",'WP2'!B21)</f>
        <v>2.16</v>
      </c>
      <c r="Z15" s="245" t="str">
        <f>_xlfn.CONCAT('WP2'!$E$2, ".",'WP2'!B22)</f>
        <v>2.17</v>
      </c>
      <c r="AA15" s="245" t="str">
        <f>_xlfn.CONCAT('WP2'!$E$2, ".",'WP2'!B23)</f>
        <v>2.18</v>
      </c>
      <c r="AB15" s="245" t="str">
        <f>_xlfn.CONCAT('WP2'!$E$2, ".",'WP2'!B24)</f>
        <v>2.19</v>
      </c>
      <c r="AD15" s="225"/>
      <c r="AE15" s="245" t="str">
        <f>_xlfn.CONCAT('WP3'!$E$2, ".",'WP3'!B16)</f>
        <v>3.11</v>
      </c>
      <c r="AF15" s="245" t="str">
        <f>_xlfn.CONCAT('WP3'!$E$2, ".",'WP3'!B17)</f>
        <v>3.12</v>
      </c>
      <c r="AG15" s="208"/>
      <c r="AH15" s="208"/>
      <c r="AI15" s="208"/>
      <c r="AJ15" s="218"/>
      <c r="AL15" s="225"/>
    </row>
    <row r="16" spans="2:43">
      <c r="B16" s="224"/>
      <c r="C16" s="341" t="s">
        <v>15</v>
      </c>
      <c r="D16" s="342"/>
      <c r="E16" s="342"/>
      <c r="F16" s="342"/>
      <c r="G16" s="342"/>
      <c r="I16" s="225"/>
      <c r="J16" s="341" t="s">
        <v>15</v>
      </c>
      <c r="K16" s="342"/>
      <c r="L16" s="342"/>
      <c r="M16" s="342"/>
      <c r="N16" s="342"/>
      <c r="P16" s="228"/>
      <c r="Q16" s="341" t="s">
        <v>15</v>
      </c>
      <c r="R16" s="342"/>
      <c r="S16" s="342"/>
      <c r="T16" s="342"/>
      <c r="U16" s="342"/>
      <c r="W16" s="225"/>
      <c r="X16" s="245" t="str">
        <f>_xlfn.CONCAT('WP2'!$E$2, ".",'WP2'!B25)</f>
        <v>2.20</v>
      </c>
      <c r="Y16" s="245" t="str">
        <f>_xlfn.CONCAT('WP2'!$E$2, ".",'WP2'!B26)</f>
        <v>2.21</v>
      </c>
      <c r="Z16" s="245" t="str">
        <f>_xlfn.CONCAT('WP2'!$E$2, ".",'WP2'!B27)</f>
        <v>2.22</v>
      </c>
      <c r="AA16" s="245" t="str">
        <f>_xlfn.CONCAT('WP2'!$E$2, ".",'WP2'!B28)</f>
        <v>2.23</v>
      </c>
      <c r="AB16" s="247" t="str">
        <f>_xlfn.CONCAT('WP2'!$E$2, ".",'WP2'!B29)</f>
        <v>2.24</v>
      </c>
      <c r="AD16" s="225"/>
      <c r="AJ16" s="218"/>
      <c r="AL16" s="225"/>
    </row>
    <row r="17" spans="2:43">
      <c r="B17" s="222"/>
      <c r="C17" s="245" t="str">
        <f>_xlfn.CONCAT(WP1a!$E$2, ".",WP1a!B10)</f>
        <v>1a.5</v>
      </c>
      <c r="D17" s="245" t="str">
        <f>_xlfn.CONCAT(WP1a!$E$2, ".",WP1a!B11)</f>
        <v>1a.6</v>
      </c>
      <c r="E17" s="243" t="str">
        <f>_xlfn.CONCAT(WP1a!$E$2, ".",WP1a!B12)</f>
        <v>1a.7</v>
      </c>
      <c r="F17" s="245" t="str">
        <f>_xlfn.CONCAT(WP1a!$E$2, ".",WP1a!B13)</f>
        <v>1a.8</v>
      </c>
      <c r="G17" s="248"/>
      <c r="I17" s="228"/>
      <c r="J17" s="245" t="str">
        <f>_xlfn.CONCAT(WP1b!$E$2, ".",WP1b!B18)</f>
        <v>1b.13</v>
      </c>
      <c r="K17" s="245" t="str">
        <f>_xlfn.CONCAT(WP1b!$E$2, ".",WP1b!B19)</f>
        <v>1b.14</v>
      </c>
      <c r="L17" s="245" t="str">
        <f>_xlfn.CONCAT(WP1b!$E$2, ".",WP1b!B20)</f>
        <v>1b.15</v>
      </c>
      <c r="M17" s="245" t="str">
        <f>_xlfn.CONCAT(WP1b!$E$2, ".",WP1b!B21)</f>
        <v>1b.16</v>
      </c>
      <c r="N17" s="245" t="str">
        <f>_xlfn.CONCAT(WP1b!$E$2, ".",WP1b!B22)</f>
        <v>1b.17</v>
      </c>
      <c r="P17" s="225"/>
      <c r="Q17" s="245" t="str">
        <f>_xlfn.CONCAT(WP1c!$E$2, ".",WP1c!B17)</f>
        <v>1c.12</v>
      </c>
      <c r="R17" s="245" t="str">
        <f>_xlfn.CONCAT(WP1c!$E$2, ".",WP1c!B18)</f>
        <v>1c.13</v>
      </c>
      <c r="S17" s="208"/>
      <c r="T17" s="208"/>
      <c r="U17" s="208"/>
      <c r="W17" s="225"/>
      <c r="AD17" s="225"/>
      <c r="AE17" s="351" t="s">
        <v>16</v>
      </c>
      <c r="AF17" s="351"/>
      <c r="AG17" s="351"/>
      <c r="AH17" s="351"/>
      <c r="AI17" s="351"/>
      <c r="AJ17" s="218"/>
      <c r="AL17" s="225"/>
    </row>
    <row r="18" spans="2:43">
      <c r="B18" s="222"/>
      <c r="C18" s="209"/>
      <c r="D18" s="209"/>
      <c r="E18" s="209"/>
      <c r="F18" s="209"/>
      <c r="G18" s="209"/>
      <c r="I18" s="225"/>
      <c r="J18" s="245" t="str">
        <f>_xlfn.CONCAT(WP1b!$E$2, ".",WP1b!B23)</f>
        <v>1b.18</v>
      </c>
      <c r="K18" s="243" t="str">
        <f>_xlfn.CONCAT(WP1b!$E$2, ".",WP1b!B24)</f>
        <v>1b.19</v>
      </c>
      <c r="L18" s="243" t="str">
        <f>_xlfn.CONCAT(WP1b!$E$2, ".",WP1b!B25)</f>
        <v>1b.20</v>
      </c>
      <c r="M18" s="248"/>
      <c r="N18" s="248"/>
      <c r="P18" s="225"/>
      <c r="W18" s="225"/>
      <c r="X18" s="341" t="s">
        <v>17</v>
      </c>
      <c r="Y18" s="342"/>
      <c r="Z18" s="342"/>
      <c r="AA18" s="342"/>
      <c r="AB18" s="342"/>
      <c r="AD18" s="228"/>
      <c r="AE18" s="347" t="s">
        <v>14</v>
      </c>
      <c r="AF18" s="348"/>
      <c r="AG18" s="348"/>
      <c r="AH18" s="348"/>
      <c r="AI18" s="349"/>
      <c r="AJ18" s="218"/>
      <c r="AL18" s="225"/>
    </row>
    <row r="19" spans="2:43">
      <c r="B19" s="222"/>
      <c r="C19" s="209"/>
      <c r="D19" s="209"/>
      <c r="E19" s="209"/>
      <c r="F19" s="209"/>
      <c r="G19" s="209"/>
      <c r="H19" s="210"/>
      <c r="I19" s="226"/>
      <c r="J19" s="209"/>
      <c r="K19" s="209"/>
      <c r="L19" s="209"/>
      <c r="M19" s="209"/>
      <c r="N19" s="209"/>
      <c r="P19" s="225"/>
      <c r="W19" s="228"/>
      <c r="X19" s="245" t="str">
        <f>_xlfn.CONCAT('WP2'!$E$2, ".",'WP2'!B30)</f>
        <v>2.25</v>
      </c>
      <c r="Y19" s="245" t="str">
        <f>_xlfn.CONCAT('WP2'!$E$2, ".",'WP2'!B31)</f>
        <v>2.26</v>
      </c>
      <c r="Z19" s="245" t="str">
        <f>_xlfn.CONCAT('WP2'!$E$2, ".",'WP2'!B32)</f>
        <v>2.27</v>
      </c>
      <c r="AA19" s="245" t="str">
        <f>_xlfn.CONCAT('WP2'!$E$2, ".",'WP2'!B33)</f>
        <v>2.28</v>
      </c>
      <c r="AB19" s="245" t="str">
        <f>_xlfn.CONCAT('WP2'!$E$2, ".",'WP2'!B34)</f>
        <v>2.29</v>
      </c>
      <c r="AD19" s="217"/>
      <c r="AE19" s="232" t="str">
        <f>_xlfn.CONCAT('WP3'!$E$2, ".",'WP3'!B23)</f>
        <v>3.1</v>
      </c>
      <c r="AF19" s="232" t="str">
        <f>_xlfn.CONCAT('WP3'!$E$2, ".",'WP3'!B24)</f>
        <v>3.2</v>
      </c>
      <c r="AG19" s="56" t="str">
        <f>_xlfn.CONCAT('WP3'!$E$2, ".",'WP3'!B25)</f>
        <v>3.3</v>
      </c>
      <c r="AH19" s="231" t="str">
        <f>_xlfn.CONCAT('WP3'!$E$2, ".",'WP3'!B26)</f>
        <v>3.4</v>
      </c>
      <c r="AI19" s="231" t="str">
        <f>_xlfn.CONCAT('WP3'!$E$2, ".",'WP3'!B27)</f>
        <v>3.5</v>
      </c>
      <c r="AJ19" s="218"/>
      <c r="AL19" s="225"/>
    </row>
    <row r="20" spans="2:43">
      <c r="B20" s="222"/>
      <c r="I20" s="225"/>
      <c r="P20" s="225"/>
      <c r="W20" s="225"/>
      <c r="X20" s="245" t="str">
        <f>_xlfn.CONCAT('WP2'!$E$2, ".",'WP2'!B35)</f>
        <v>2.30</v>
      </c>
      <c r="Y20" s="245" t="str">
        <f>_xlfn.CONCAT('WP2'!$E$2, ".",'WP2'!B36)</f>
        <v>2.31</v>
      </c>
      <c r="Z20" s="245" t="str">
        <f>_xlfn.CONCAT('WP2'!$E$2, ".",'WP2'!B37)</f>
        <v>2.32</v>
      </c>
      <c r="AA20" s="248"/>
      <c r="AB20" s="248"/>
      <c r="AC20" s="217"/>
      <c r="AD20" s="217"/>
      <c r="AE20" s="56" t="str">
        <f>_xlfn.CONCAT('WP3'!$E$2, ".",'WP3'!B28)</f>
        <v>3.6</v>
      </c>
      <c r="AF20" s="230"/>
      <c r="AG20" s="230"/>
      <c r="AH20" s="230"/>
      <c r="AI20" s="229"/>
      <c r="AJ20" s="218"/>
      <c r="AL20" s="225"/>
    </row>
    <row r="21" spans="2:43">
      <c r="B21" s="222"/>
      <c r="C21" s="341" t="s">
        <v>18</v>
      </c>
      <c r="D21" s="342"/>
      <c r="E21" s="342"/>
      <c r="F21" s="342"/>
      <c r="G21" s="342"/>
      <c r="I21" s="228"/>
      <c r="J21" s="341" t="s">
        <v>18</v>
      </c>
      <c r="K21" s="342"/>
      <c r="L21" s="342"/>
      <c r="M21" s="342"/>
      <c r="N21" s="342"/>
      <c r="P21" s="228"/>
      <c r="Q21" s="341" t="s">
        <v>18</v>
      </c>
      <c r="R21" s="342"/>
      <c r="S21" s="342"/>
      <c r="T21" s="342"/>
      <c r="U21" s="342"/>
      <c r="W21" s="225"/>
      <c r="AC21" s="217"/>
      <c r="AD21" s="217"/>
      <c r="AJ21" s="219"/>
      <c r="AK21" s="217"/>
      <c r="AL21" s="225"/>
    </row>
    <row r="22" spans="2:43">
      <c r="B22" s="224"/>
      <c r="C22" s="246" t="str">
        <f>_xlfn.CONCAT(WP1a!$E$2, ".",WP1a!B29)</f>
        <v>1a.24</v>
      </c>
      <c r="D22" s="246" t="str">
        <f>_xlfn.CONCAT(WP1a!$E$2, ".",WP1a!B30)</f>
        <v>1a.25</v>
      </c>
      <c r="E22" s="245" t="str">
        <f>_xlfn.CONCAT(WP1a!$E$2, ".",WP1a!B31)</f>
        <v>1a.26</v>
      </c>
      <c r="F22" s="245" t="str">
        <f>_xlfn.CONCAT(WP1a!$E$2, ".",WP1a!B32)</f>
        <v>1a.27</v>
      </c>
      <c r="G22" s="245" t="str">
        <f>_xlfn.CONCAT(WP1a!$E$2, ".",WP1a!B33)</f>
        <v>1a.28</v>
      </c>
      <c r="I22" s="225"/>
      <c r="J22" s="245" t="str">
        <f>_xlfn.CONCAT(WP1b!$E$2, ".",WP1b!B14)</f>
        <v>1b.9</v>
      </c>
      <c r="K22" s="245" t="str">
        <f>_xlfn.CONCAT(WP1b!$E$2, ".",WP1b!B15)</f>
        <v>1b.10</v>
      </c>
      <c r="L22" s="245" t="str">
        <f>_xlfn.CONCAT(WP1b!$E$2, ".",WP1b!B16)</f>
        <v>1b.11</v>
      </c>
      <c r="M22" s="245" t="str">
        <f>_xlfn.CONCAT(WP1b!$E$2, ".",WP1b!B17)</f>
        <v>1b.12</v>
      </c>
      <c r="N22" s="248"/>
      <c r="P22" s="225"/>
      <c r="Q22" s="245" t="str">
        <f>_xlfn.CONCAT(WP1c!$E$2, ".",WP1c!B16)</f>
        <v>1c.11</v>
      </c>
      <c r="R22" s="247" t="str">
        <f>_xlfn.CONCAT(WP1c!$E$2, ".",WP1c!B19)</f>
        <v>1c.14</v>
      </c>
      <c r="S22" s="211"/>
      <c r="T22" s="211"/>
      <c r="U22" s="211"/>
      <c r="W22" s="228"/>
      <c r="X22" s="347" t="s">
        <v>19</v>
      </c>
      <c r="Y22" s="348"/>
      <c r="Z22" s="348"/>
      <c r="AA22" s="348"/>
      <c r="AB22" s="349"/>
      <c r="AC22" s="217"/>
      <c r="AD22" s="217"/>
      <c r="AG22" s="220"/>
      <c r="AH22" s="215"/>
      <c r="AI22" s="215"/>
      <c r="AJ22" s="218"/>
      <c r="AK22" s="217"/>
      <c r="AL22" s="225"/>
    </row>
    <row r="23" spans="2:43">
      <c r="B23" s="222"/>
      <c r="C23" s="245" t="str">
        <f>_xlfn.CONCAT(WP1a!$E$2, ".",WP1a!B34)</f>
        <v>1a.29</v>
      </c>
      <c r="D23" s="245" t="str">
        <f>_xlfn.CONCAT(WP1a!$E$2, ".",WP1a!B35)</f>
        <v>1a.30</v>
      </c>
      <c r="E23" s="245" t="str">
        <f>_xlfn.CONCAT(WP1a!$E$2, ".",WP1a!B36)</f>
        <v>1a.31</v>
      </c>
      <c r="F23" s="245" t="str">
        <f>_xlfn.CONCAT(WP1a!$E$2, ".",WP1a!B37)</f>
        <v>1a.32</v>
      </c>
      <c r="G23" s="248"/>
      <c r="I23" s="225"/>
      <c r="P23" s="225"/>
      <c r="W23" s="225"/>
      <c r="X23" s="245" t="str">
        <f>_xlfn.CONCAT('WP2'!$E$2, ".",'WP2'!B38)</f>
        <v>2.33</v>
      </c>
      <c r="Y23" s="245" t="str">
        <f>_xlfn.CONCAT('WP2'!$E$2, ".",'WP2'!B39)</f>
        <v>2.34</v>
      </c>
      <c r="Z23" s="245" t="str">
        <f>_xlfn.CONCAT('WP2'!$E$2, ".",'WP2'!B40)</f>
        <v>2.35</v>
      </c>
      <c r="AA23" s="245" t="str">
        <f>_xlfn.CONCAT('WP2'!$E$2, ".",'WP2'!B41)</f>
        <v>2.36</v>
      </c>
      <c r="AB23" s="245" t="str">
        <f>_xlfn.CONCAT('WP2'!$E$2, ".",'WP2'!B42)</f>
        <v>2.37</v>
      </c>
      <c r="AC23" s="217"/>
      <c r="AD23" s="217"/>
      <c r="AE23" s="352" t="s">
        <v>20</v>
      </c>
      <c r="AF23" s="352"/>
      <c r="AG23" s="352"/>
      <c r="AH23" s="352"/>
      <c r="AI23" s="352"/>
      <c r="AJ23" s="218"/>
      <c r="AL23" s="225"/>
    </row>
    <row r="24" spans="2:43">
      <c r="B24" s="222"/>
      <c r="I24" s="225"/>
      <c r="P24" s="225"/>
      <c r="W24" s="225"/>
      <c r="AC24" s="217"/>
      <c r="AD24" s="217"/>
      <c r="AE24" s="352"/>
      <c r="AF24" s="352"/>
      <c r="AG24" s="352"/>
      <c r="AH24" s="352"/>
      <c r="AI24" s="352"/>
      <c r="AJ24" s="218"/>
      <c r="AL24" s="225"/>
    </row>
    <row r="25" spans="2:43">
      <c r="B25" s="224"/>
      <c r="C25" s="341" t="s">
        <v>21</v>
      </c>
      <c r="D25" s="342"/>
      <c r="E25" s="342"/>
      <c r="F25" s="342"/>
      <c r="G25" s="342"/>
      <c r="I25" s="225"/>
      <c r="P25" s="228"/>
      <c r="Q25" s="341" t="s">
        <v>21</v>
      </c>
      <c r="R25" s="342"/>
      <c r="S25" s="342"/>
      <c r="T25" s="342"/>
      <c r="U25" s="342"/>
      <c r="W25" s="225"/>
      <c r="X25" s="341" t="s">
        <v>22</v>
      </c>
      <c r="Y25" s="342"/>
      <c r="Z25" s="342"/>
      <c r="AA25" s="342"/>
      <c r="AB25" s="342"/>
      <c r="AC25" s="217"/>
      <c r="AD25" s="217"/>
      <c r="AJ25" s="218"/>
      <c r="AL25" s="225"/>
    </row>
    <row r="26" spans="2:43">
      <c r="B26" s="222"/>
      <c r="C26" s="245" t="str">
        <f>_xlfn.CONCAT(WP1a!$E$2, ".",WP1a!B9)</f>
        <v>1a.4</v>
      </c>
      <c r="D26" s="245" t="str">
        <f>_xlfn.CONCAT(WP1a!$E$2, ".",WP1a!B38)</f>
        <v>1a.33</v>
      </c>
      <c r="E26" s="248"/>
      <c r="F26" s="248"/>
      <c r="G26" s="248"/>
      <c r="I26" s="225"/>
      <c r="P26" s="225"/>
      <c r="Q26" s="245" t="str">
        <f>_xlfn.CONCAT(WP1c!$E$2, ".",WP1c!B20)</f>
        <v>1c.15</v>
      </c>
      <c r="R26" s="248"/>
      <c r="S26" s="208"/>
      <c r="T26" s="208"/>
      <c r="U26" s="208"/>
      <c r="W26" s="228"/>
      <c r="X26" s="243" t="str">
        <f>_xlfn.CONCAT('WP2'!$E$2, ".",'WP2'!B43)</f>
        <v>2.38</v>
      </c>
      <c r="Y26" s="243" t="str">
        <f>_xlfn.CONCAT('WP2'!$E$2, ".",'WP2'!B44)</f>
        <v>2.39</v>
      </c>
      <c r="Z26" s="243" t="str">
        <f>_xlfn.CONCAT('WP2'!$E$2, ".",'WP2'!B45)</f>
        <v>2.40</v>
      </c>
      <c r="AA26" s="245" t="str">
        <f>_xlfn.CONCAT('WP2'!$E$2, ".",'WP2'!B46)</f>
        <v>2.41</v>
      </c>
      <c r="AB26" s="246" t="str">
        <f>_xlfn.CONCAT('WP2'!$E$2, ".",'WP2'!B47)</f>
        <v>2.42</v>
      </c>
      <c r="AC26" s="217"/>
      <c r="AD26" s="217"/>
      <c r="AE26" s="351" t="s">
        <v>7</v>
      </c>
      <c r="AF26" s="351"/>
      <c r="AG26" s="351"/>
      <c r="AH26" s="351"/>
      <c r="AI26" s="351"/>
      <c r="AJ26" s="218"/>
      <c r="AL26" s="225"/>
    </row>
    <row r="27" spans="2:43">
      <c r="B27" s="222"/>
      <c r="I27" s="225"/>
      <c r="P27" s="225"/>
      <c r="W27" s="225"/>
      <c r="X27" s="246" t="str">
        <f>_xlfn.CONCAT('WP2'!$E$2, ".",'WP2'!B48)</f>
        <v>2.43</v>
      </c>
      <c r="Y27" s="248"/>
      <c r="Z27" s="248"/>
      <c r="AA27" s="248"/>
      <c r="AB27" s="248"/>
      <c r="AE27" s="347" t="s">
        <v>23</v>
      </c>
      <c r="AF27" s="348"/>
      <c r="AG27" s="348"/>
      <c r="AH27" s="348"/>
      <c r="AI27" s="349"/>
      <c r="AJ27" s="218"/>
      <c r="AL27" s="225"/>
    </row>
    <row r="28" spans="2:43">
      <c r="B28" s="222"/>
      <c r="I28" s="225"/>
      <c r="P28" s="225"/>
      <c r="W28" s="225"/>
      <c r="AE28" s="245" t="str">
        <f>_xlfn.CONCAT('WP4'!$E$2, ".",'WP4'!B6)</f>
        <v>4.1</v>
      </c>
      <c r="AF28" s="245" t="str">
        <f>_xlfn.CONCAT('WP4'!$E$2, ".",'WP4'!B7)</f>
        <v>4.2</v>
      </c>
      <c r="AG28" s="245" t="str">
        <f>_xlfn.CONCAT('WP4'!$E$2, ".",'WP4'!B8)</f>
        <v>4.3</v>
      </c>
      <c r="AH28" s="245" t="str">
        <f>_xlfn.CONCAT('WP4'!$E$2, ".",'WP4'!B9)</f>
        <v>4.4</v>
      </c>
      <c r="AI28" s="245" t="str">
        <f>_xlfn.CONCAT('WP4'!$E$2, ".",'WP4'!B10)</f>
        <v>4.5</v>
      </c>
      <c r="AJ28" s="219"/>
      <c r="AL28" s="225"/>
    </row>
    <row r="29" spans="2:43">
      <c r="B29" s="222"/>
      <c r="I29" s="225"/>
      <c r="P29" s="225"/>
      <c r="W29" s="225"/>
      <c r="AE29" s="245" t="str">
        <f>_xlfn.CONCAT('WP4'!$E$2, ".",'WP4'!B11)</f>
        <v>4.6</v>
      </c>
      <c r="AF29" s="248"/>
      <c r="AG29" s="248"/>
      <c r="AH29" s="248"/>
      <c r="AI29" s="248"/>
      <c r="AJ29" s="218"/>
      <c r="AL29" s="225"/>
    </row>
    <row r="30" spans="2:43">
      <c r="B30" s="222"/>
      <c r="I30" s="225"/>
      <c r="P30" s="225"/>
      <c r="W30" s="225"/>
      <c r="AJ30" s="218"/>
      <c r="AL30" s="225"/>
    </row>
    <row r="31" spans="2:43">
      <c r="B31" s="222"/>
      <c r="C31" s="343" t="s">
        <v>16</v>
      </c>
      <c r="D31" s="343"/>
      <c r="E31" s="343"/>
      <c r="F31" s="343"/>
      <c r="G31" s="343"/>
      <c r="I31" s="225"/>
      <c r="J31" s="343" t="s">
        <v>16</v>
      </c>
      <c r="K31" s="343"/>
      <c r="L31" s="343"/>
      <c r="M31" s="343"/>
      <c r="N31" s="343"/>
      <c r="P31" s="225"/>
      <c r="Q31" s="343" t="s">
        <v>16</v>
      </c>
      <c r="R31" s="343"/>
      <c r="S31" s="343"/>
      <c r="T31" s="343"/>
      <c r="U31" s="343"/>
      <c r="W31" s="225"/>
      <c r="X31" s="343" t="s">
        <v>16</v>
      </c>
      <c r="Y31" s="343"/>
      <c r="Z31" s="343"/>
      <c r="AA31" s="343"/>
      <c r="AB31" s="343"/>
      <c r="AE31" s="351" t="s">
        <v>16</v>
      </c>
      <c r="AF31" s="351"/>
      <c r="AG31" s="351"/>
      <c r="AH31" s="351"/>
      <c r="AI31" s="351"/>
      <c r="AJ31" s="218"/>
      <c r="AL31" s="225"/>
      <c r="AM31" s="343" t="s">
        <v>16</v>
      </c>
      <c r="AN31" s="343"/>
      <c r="AO31" s="343"/>
      <c r="AP31" s="343"/>
      <c r="AQ31" s="343"/>
    </row>
    <row r="32" spans="2:43">
      <c r="B32" s="224"/>
      <c r="C32" s="341" t="s">
        <v>24</v>
      </c>
      <c r="D32" s="342"/>
      <c r="E32" s="342"/>
      <c r="F32" s="342"/>
      <c r="G32" s="342"/>
      <c r="I32" s="228"/>
      <c r="J32" s="341" t="s">
        <v>8</v>
      </c>
      <c r="K32" s="342"/>
      <c r="L32" s="342"/>
      <c r="M32" s="342"/>
      <c r="N32" s="342"/>
      <c r="P32" s="225"/>
      <c r="Q32" s="341" t="s">
        <v>14</v>
      </c>
      <c r="R32" s="342"/>
      <c r="S32" s="342"/>
      <c r="T32" s="342"/>
      <c r="U32" s="342"/>
      <c r="W32" s="228"/>
      <c r="X32" s="341" t="s">
        <v>9</v>
      </c>
      <c r="Y32" s="342"/>
      <c r="Z32" s="342"/>
      <c r="AA32" s="342"/>
      <c r="AB32" s="342"/>
      <c r="AE32" s="347" t="s">
        <v>25</v>
      </c>
      <c r="AF32" s="348"/>
      <c r="AG32" s="348"/>
      <c r="AH32" s="348"/>
      <c r="AI32" s="349"/>
      <c r="AJ32" s="219"/>
      <c r="AL32" s="225"/>
      <c r="AM32" s="341" t="s">
        <v>26</v>
      </c>
      <c r="AN32" s="342"/>
      <c r="AO32" s="342"/>
      <c r="AP32" s="342"/>
      <c r="AQ32" s="342"/>
    </row>
    <row r="33" spans="2:43">
      <c r="B33" s="222"/>
      <c r="C33" s="7" t="str">
        <f>_xlfn.CONCAT(WP1a!$E$2, ".",WP1a!B43)</f>
        <v>1a.1</v>
      </c>
      <c r="D33" s="7" t="str">
        <f>_xlfn.CONCAT(WP1a!$E$2, ".",WP1a!B44)</f>
        <v>1a.2</v>
      </c>
      <c r="E33" s="208"/>
      <c r="F33" s="208"/>
      <c r="G33" s="208"/>
      <c r="I33" s="225"/>
      <c r="J33" s="214" t="str">
        <f>_xlfn.CONCAT(WP1a!$E$2, ".",WP1b!B36)</f>
        <v>1a.7</v>
      </c>
      <c r="K33" s="214" t="str">
        <f>_xlfn.CONCAT(WP1a!$E$2, ".",WP1b!B37)</f>
        <v>1a.8</v>
      </c>
      <c r="L33" s="7" t="str">
        <f>_xlfn.CONCAT(WP1a!$E$2, ".",WP1b!B38)</f>
        <v>1a.9</v>
      </c>
      <c r="M33" s="7" t="str">
        <f>_xlfn.CONCAT(WP1a!$E$2, ".",WP1b!B39)</f>
        <v>1a.10</v>
      </c>
      <c r="N33" s="208"/>
      <c r="P33" s="228"/>
      <c r="Q33" s="232" t="str">
        <f>_xlfn.CONCAT(WP1c!$E$2, ".",WP1c!B25)</f>
        <v>1c.1</v>
      </c>
      <c r="R33" s="232" t="str">
        <f>_xlfn.CONCAT(WP1c!$E$2, ".",WP1c!B26)</f>
        <v>1c.2</v>
      </c>
      <c r="S33" s="7" t="str">
        <f>_xlfn.CONCAT(WP1c!$E$2, ".",WP1c!B27)</f>
        <v>1c.3</v>
      </c>
      <c r="T33" s="7" t="str">
        <f>_xlfn.CONCAT(WP1c!$E$2, ".",WP1c!B28)</f>
        <v>1c.4</v>
      </c>
      <c r="U33" s="232" t="str">
        <f>_xlfn.CONCAT(WP1c!$E$2, ".",WP1c!B29)</f>
        <v>1c.5</v>
      </c>
      <c r="W33" s="225"/>
      <c r="X33" s="232" t="str">
        <f>_xlfn.CONCAT('WP2'!$E$2, ".",'WP2'!B55)</f>
        <v>2.1</v>
      </c>
      <c r="Y33" s="232" t="str">
        <f>_xlfn.CONCAT('WP2'!$E$2, ".",'WP2'!B56)</f>
        <v>2.2</v>
      </c>
      <c r="Z33" s="231" t="str">
        <f>_xlfn.CONCAT('WP2'!$E$2, ".",'WP2'!B57)</f>
        <v>2.3</v>
      </c>
      <c r="AA33" s="231" t="str">
        <f>_xlfn.CONCAT('WP2'!$E$2, ".",'WP2'!B58)</f>
        <v>2.4</v>
      </c>
      <c r="AB33" s="208"/>
      <c r="AE33" s="232" t="str">
        <f>_xlfn.CONCAT('WP4'!$E$2, ".",'WP4'!B16)</f>
        <v>4.1</v>
      </c>
      <c r="AF33" s="232" t="str">
        <f>_xlfn.CONCAT('WP4'!$E$2, ".",'WP4'!B17)</f>
        <v>4.2</v>
      </c>
      <c r="AG33" s="242" t="str">
        <f>_xlfn.CONCAT('WP4'!$E$2, ".",'WP4'!B18)</f>
        <v>4.3</v>
      </c>
      <c r="AH33" s="242" t="str">
        <f>_xlfn.CONCAT('WP4'!$E$2, ".",'WP4'!B19)</f>
        <v>4.4</v>
      </c>
      <c r="AI33" s="229"/>
      <c r="AJ33" s="218"/>
      <c r="AL33" s="228"/>
      <c r="AM33" s="232" t="str">
        <f>_xlfn.CONCAT('WP5'!$E$2, ".",'WP5'!B19)</f>
        <v>5.1</v>
      </c>
      <c r="AN33" s="232" t="str">
        <f>_xlfn.CONCAT('WP5'!$E$2, ".",'WP5'!B20)</f>
        <v>5.2</v>
      </c>
      <c r="AO33" s="232" t="str">
        <f>_xlfn.CONCAT('WP5'!$E$2, ".",'WP5'!B21)</f>
        <v>5.3</v>
      </c>
      <c r="AP33" s="232" t="str">
        <f>_xlfn.CONCAT('WP5'!$E$2, ".",'WP5'!B22)</f>
        <v>5.4</v>
      </c>
      <c r="AQ33" s="232" t="str">
        <f>_xlfn.CONCAT('WP5'!$E$2, ".",'WP5'!B23)</f>
        <v>5.5</v>
      </c>
    </row>
    <row r="34" spans="2:43">
      <c r="B34" s="222"/>
      <c r="I34" s="225"/>
      <c r="Q34" s="7" t="str">
        <f>_xlfn.CONCAT(WP1c!$E$2, ".",WP1c!B30)</f>
        <v>1c.6</v>
      </c>
      <c r="R34" s="7" t="str">
        <f>_xlfn.CONCAT(WP1c!$E$2, ".",WP1c!B31)</f>
        <v>1c.7</v>
      </c>
      <c r="S34" s="208"/>
      <c r="T34" s="208"/>
      <c r="U34" s="208"/>
      <c r="W34" s="225"/>
      <c r="AJ34" s="218"/>
      <c r="AL34" s="225"/>
      <c r="AM34" s="232" t="str">
        <f>_xlfn.CONCAT('WP5'!$E$2, ".",'WP5'!B24)</f>
        <v>5.6</v>
      </c>
      <c r="AN34" s="232" t="str">
        <f>_xlfn.CONCAT('WP5'!$E$2, ".",'WP5'!B25)</f>
        <v>5.7</v>
      </c>
      <c r="AO34" s="232" t="str">
        <f>_xlfn.CONCAT('WP5'!$E$2, ".",'WP5'!B26)</f>
        <v>5.8</v>
      </c>
      <c r="AP34" s="231" t="str">
        <f>_xlfn.CONCAT('WP5'!$E$2, ".",'WP5'!B27)</f>
        <v>5.9</v>
      </c>
      <c r="AQ34" s="231" t="str">
        <f>_xlfn.CONCAT('WP5'!$E$2, ".",'WP5'!B28)</f>
        <v>5.10</v>
      </c>
    </row>
    <row r="35" spans="2:43">
      <c r="B35" s="222"/>
      <c r="C35" s="341" t="s">
        <v>27</v>
      </c>
      <c r="D35" s="342"/>
      <c r="E35" s="342"/>
      <c r="F35" s="342"/>
      <c r="G35" s="342"/>
      <c r="I35" s="225"/>
      <c r="J35" s="341" t="s">
        <v>27</v>
      </c>
      <c r="K35" s="342"/>
      <c r="L35" s="342"/>
      <c r="M35" s="342"/>
      <c r="N35" s="342"/>
      <c r="W35" s="225"/>
      <c r="X35" s="341" t="s">
        <v>13</v>
      </c>
      <c r="Y35" s="342"/>
      <c r="Z35" s="342"/>
      <c r="AA35" s="342"/>
      <c r="AB35" s="342"/>
      <c r="AE35" s="347" t="s">
        <v>28</v>
      </c>
      <c r="AF35" s="348"/>
      <c r="AG35" s="348"/>
      <c r="AH35" s="348"/>
      <c r="AI35" s="349"/>
      <c r="AJ35" s="219"/>
      <c r="AL35" s="225"/>
    </row>
    <row r="36" spans="2:43">
      <c r="B36" s="222"/>
      <c r="C36" s="232" t="str">
        <f>_xlfn.CONCAT(WP1a!$E$2, ".",WP1a!B45)</f>
        <v>1a.3</v>
      </c>
      <c r="D36" s="232" t="str">
        <f>_xlfn.CONCAT(WP1a!$E$2, ".",WP1a!B46)</f>
        <v>1a.4</v>
      </c>
      <c r="E36" s="232" t="str">
        <f>_xlfn.CONCAT(WP1a!$E$2, ".",WP1a!B47)</f>
        <v>1a.5</v>
      </c>
      <c r="F36" s="232" t="str">
        <f>_xlfn.CONCAT(WP1a!$E$2, ".",WP1a!B48)</f>
        <v>1a.6</v>
      </c>
      <c r="G36" s="232" t="str">
        <f>_xlfn.CONCAT(WP1a!$E$2, ".",WP1a!B49)</f>
        <v>1a.7</v>
      </c>
      <c r="I36" s="228"/>
      <c r="J36" s="214" t="str">
        <f>_xlfn.CONCAT(WP1b!$E$2, ".",WP1b!B30)</f>
        <v>1b.1</v>
      </c>
      <c r="K36" s="214" t="str">
        <f>_xlfn.CONCAT(WP1a!$E$2, ".",WP1b!B31)</f>
        <v>1a.2</v>
      </c>
      <c r="L36" s="214" t="str">
        <f>_xlfn.CONCAT(WP1a!$E$2, ".",WP1b!B32)</f>
        <v>1a.3</v>
      </c>
      <c r="M36" s="214" t="str">
        <f>_xlfn.CONCAT(WP1a!$E$2, ".",WP1b!B33)</f>
        <v>1a.4</v>
      </c>
      <c r="N36" s="7" t="str">
        <f>_xlfn.CONCAT(WP1a!$E$2, ".",WP1b!B34)</f>
        <v>1a.5</v>
      </c>
      <c r="W36" s="228"/>
      <c r="X36" s="232" t="str">
        <f>_xlfn.CONCAT('WP2'!$E$2, ".",'WP2'!B59)</f>
        <v>2.5</v>
      </c>
      <c r="Y36" s="232" t="str">
        <f>_xlfn.CONCAT('WP2'!$E$2, ".",'WP2'!B60)</f>
        <v>2.6</v>
      </c>
      <c r="Z36" s="231" t="str">
        <f>_xlfn.CONCAT('WP2'!$E$2, ".",'WP2'!B61)</f>
        <v>2.7</v>
      </c>
      <c r="AA36" s="231" t="str">
        <f>_xlfn.CONCAT('WP2'!$E$2, ".",'WP2'!B62)</f>
        <v>2.8</v>
      </c>
      <c r="AB36" s="232" t="str">
        <f>_xlfn.CONCAT('WP2'!$E$2, ".",'WP2'!B71)</f>
        <v>2.17</v>
      </c>
      <c r="AE36" s="242" t="str">
        <f>_xlfn.CONCAT('WP4'!$E$2, ".",'WP4'!B20)</f>
        <v>4.5</v>
      </c>
      <c r="AF36" s="242" t="str">
        <f>_xlfn.CONCAT('WP4'!$E$2, ".",'WP4'!B21)</f>
        <v>4.6</v>
      </c>
      <c r="AG36" s="232" t="str">
        <f>_xlfn.CONCAT('WP4'!$E$2, ".",'WP4'!B22)</f>
        <v>4.7</v>
      </c>
      <c r="AH36" s="243" t="str">
        <f>_xlfn.CONCAT('WP4'!$E$2, ".",'WP4'!B23)</f>
        <v>4.8</v>
      </c>
      <c r="AI36" s="242" t="str">
        <f>_xlfn.CONCAT('WP4'!$E$2, ".",'WP4'!B24)</f>
        <v>4.9</v>
      </c>
      <c r="AJ36" s="218"/>
      <c r="AL36" s="228"/>
      <c r="AM36" s="341" t="s">
        <v>8</v>
      </c>
      <c r="AN36" s="342"/>
      <c r="AO36" s="342"/>
      <c r="AP36" s="342"/>
      <c r="AQ36" s="342"/>
    </row>
    <row r="37" spans="2:43">
      <c r="B37" s="224"/>
      <c r="C37" s="232" t="str">
        <f>_xlfn.CONCAT(WP1a!$E$2, ".",WP1a!B50)</f>
        <v>1a.8</v>
      </c>
      <c r="D37" s="7" t="str">
        <f>_xlfn.CONCAT(WP1a!$E$2, ".",WP1a!B51)</f>
        <v>1a.9</v>
      </c>
      <c r="E37" s="232" t="str">
        <f>_xlfn.CONCAT(WP1a!$E$2, ".",WP1a!B52)</f>
        <v>1a.10</v>
      </c>
      <c r="F37" s="232" t="str">
        <f>_xlfn.CONCAT(WP1a!$E$2, ".",WP1a!B53)</f>
        <v>1a.11</v>
      </c>
      <c r="G37" s="7" t="str">
        <f>_xlfn.CONCAT(WP1a!$E$2, ".",WP1a!B54)</f>
        <v>1a.12</v>
      </c>
      <c r="J37" s="7" t="str">
        <f>_xlfn.CONCAT(WP1b!$E$2, ".",WP1b!B35)</f>
        <v>1b.6</v>
      </c>
      <c r="K37" s="208"/>
      <c r="L37" s="208"/>
      <c r="M37" s="208"/>
      <c r="N37" s="208"/>
      <c r="W37" s="225"/>
      <c r="X37" s="28" t="str">
        <f>_xlfn.CONCAT('WP2'!$E$2, ".",'WP2'!B72)</f>
        <v>2.18</v>
      </c>
      <c r="Y37" s="28" t="str">
        <f>_xlfn.CONCAT('WP2'!$E$2, ".",'WP2'!B73)</f>
        <v>2.19</v>
      </c>
      <c r="Z37" s="28" t="str">
        <f>_xlfn.CONCAT('WP2'!$E$2, ".",'WP2'!B74)</f>
        <v>2.20</v>
      </c>
      <c r="AA37" s="28" t="str">
        <f>_xlfn.CONCAT('WP2'!$E$2, ".",'WP2'!B75)</f>
        <v>2.21</v>
      </c>
      <c r="AB37" s="28" t="str">
        <f>_xlfn.CONCAT('WP2'!$E$2, ".",'WP2'!B76)</f>
        <v>2.22</v>
      </c>
      <c r="AJ37" s="218"/>
      <c r="AL37" s="225"/>
      <c r="AM37" s="232" t="str">
        <f>_xlfn.CONCAT('WP5'!$E$2, ".",'WP5'!B30)</f>
        <v>5.12</v>
      </c>
      <c r="AN37" s="232" t="str">
        <f>_xlfn.CONCAT('WP5'!$E$2, ".",'WP5'!B32)</f>
        <v>5.14</v>
      </c>
      <c r="AO37" s="231" t="str">
        <f>_xlfn.CONCAT('WP5'!$E$2, ".",'WP5'!B34)</f>
        <v>5.16</v>
      </c>
      <c r="AP37" s="231" t="str">
        <f>_xlfn.CONCAT('WP5'!$E$2, ".",'WP5'!B36)</f>
        <v>5.18</v>
      </c>
      <c r="AQ37" s="208"/>
    </row>
    <row r="38" spans="2:43">
      <c r="C38" s="7" t="str">
        <f>_xlfn.CONCAT(WP1a!$E$2, ".",WP1a!B55)</f>
        <v>1a.13</v>
      </c>
      <c r="D38" s="7" t="str">
        <f>_xlfn.CONCAT(WP1a!$E$2, ".",WP1a!B56)</f>
        <v>1a.14</v>
      </c>
      <c r="E38" s="7" t="str">
        <f>_xlfn.CONCAT(WP1a!$E$2, ".",WP1a!B57)</f>
        <v>1a.15</v>
      </c>
      <c r="F38" s="7" t="str">
        <f>_xlfn.CONCAT(WP1a!$E$2, ".",WP1a!B58)</f>
        <v>1a.16</v>
      </c>
      <c r="G38" s="7" t="str">
        <f>_xlfn.CONCAT(WP1a!$E$2, ".",WP1a!B59)</f>
        <v>1a.17</v>
      </c>
      <c r="W38" s="225"/>
      <c r="X38" s="28" t="str">
        <f>_xlfn.CONCAT('WP2'!$E$2, ".",'WP2'!B77)</f>
        <v>2.23</v>
      </c>
      <c r="Y38" s="28" t="str">
        <f>_xlfn.CONCAT('WP2'!$E$2, ".",'WP2'!B78)</f>
        <v>2.24</v>
      </c>
      <c r="Z38" s="208"/>
      <c r="AA38" s="208"/>
      <c r="AB38" s="208"/>
      <c r="AE38" s="347" t="s">
        <v>29</v>
      </c>
      <c r="AF38" s="348"/>
      <c r="AG38" s="348"/>
      <c r="AH38" s="348"/>
      <c r="AI38" s="349"/>
      <c r="AJ38" s="218"/>
      <c r="AL38" s="225"/>
    </row>
    <row r="39" spans="2:43">
      <c r="C39" s="7" t="str">
        <f>_xlfn.CONCAT(WP1a!$E$2, ".",WP1a!B60)</f>
        <v>1a.18</v>
      </c>
      <c r="D39" s="208"/>
      <c r="E39" s="208"/>
      <c r="F39" s="208"/>
      <c r="G39" s="208"/>
      <c r="W39" s="225"/>
      <c r="AE39" s="232" t="str">
        <f>_xlfn.CONCAT('WP4'!$E$2, ".",'WP4'!B25)</f>
        <v>4.10</v>
      </c>
      <c r="AF39" s="242" t="str">
        <f>_xlfn.CONCAT('WP4'!$E$2, ".",'WP4'!B26)</f>
        <v>4.11</v>
      </c>
      <c r="AG39" s="242" t="str">
        <f>_xlfn.CONCAT('WP4'!$E$2, ".",'WP4'!B27)</f>
        <v>4.12</v>
      </c>
      <c r="AH39" s="242" t="str">
        <f>_xlfn.CONCAT('WP4'!$E$2, ".",'WP4'!B28)</f>
        <v>4.13</v>
      </c>
      <c r="AI39" s="324" t="str">
        <f>_xlfn.CONCAT('WP4'!$E$2, ".",'WP4'!B29)</f>
        <v>4.14</v>
      </c>
      <c r="AJ39" s="219"/>
      <c r="AL39" s="228"/>
      <c r="AM39" s="341" t="s">
        <v>30</v>
      </c>
      <c r="AN39" s="342"/>
      <c r="AO39" s="342"/>
      <c r="AP39" s="342"/>
      <c r="AQ39" s="342"/>
    </row>
    <row r="40" spans="2:43">
      <c r="W40" s="228"/>
      <c r="X40" s="341" t="s">
        <v>17</v>
      </c>
      <c r="Y40" s="342"/>
      <c r="Z40" s="342"/>
      <c r="AA40" s="342"/>
      <c r="AB40" s="342"/>
      <c r="AE40" s="324" t="str">
        <f>_xlfn.CONCAT('WP4'!$E$2, ".",'WP4'!B30)</f>
        <v>4.15</v>
      </c>
      <c r="AF40" s="230"/>
      <c r="AG40" s="230"/>
      <c r="AH40" s="230"/>
      <c r="AI40" s="229"/>
      <c r="AJ40" s="217"/>
      <c r="AM40" s="7" t="str">
        <f>_xlfn.CONCAT('WP5'!$E$2, ".",'WP5'!B29)</f>
        <v>5.11</v>
      </c>
      <c r="AN40" s="232" t="str">
        <f>_xlfn.CONCAT('WP5'!$E$2, ".",'WP5'!B31)</f>
        <v>5.13</v>
      </c>
      <c r="AO40" s="232" t="str">
        <f>_xlfn.CONCAT('WP5'!$E$2, ".",'WP5'!B33)</f>
        <v>5.15</v>
      </c>
      <c r="AP40" s="7" t="str">
        <f>_xlfn.CONCAT('WP5'!$E$2, ".",'WP5'!B35)</f>
        <v>5.17</v>
      </c>
      <c r="AQ40" s="7" t="str">
        <f>_xlfn.CONCAT('WP5'!$E$2, ".",'WP5'!B37)</f>
        <v>5.19</v>
      </c>
    </row>
    <row r="41" spans="2:43">
      <c r="C41" s="344" t="s">
        <v>31</v>
      </c>
      <c r="D41" s="345"/>
      <c r="E41" s="345"/>
      <c r="F41" s="345"/>
      <c r="G41" s="346"/>
      <c r="J41" s="344" t="s">
        <v>32</v>
      </c>
      <c r="K41" s="345"/>
      <c r="L41" s="345"/>
      <c r="M41" s="345"/>
      <c r="N41" s="346"/>
      <c r="W41" s="225"/>
      <c r="X41" s="232" t="str">
        <f>_xlfn.CONCAT('WP2'!$E$2, ".",'WP2'!B63)</f>
        <v>2.9</v>
      </c>
      <c r="Y41" s="232" t="str">
        <f>_xlfn.CONCAT('WP2'!$E$2, ".",'WP2'!B64)</f>
        <v>2.10</v>
      </c>
      <c r="Z41" s="231" t="str">
        <f>_xlfn.CONCAT('WP2'!$E$2, ".",'WP2'!B65)</f>
        <v>2.11</v>
      </c>
      <c r="AA41" s="231" t="str">
        <f>_xlfn.CONCAT('WP2'!$E$2, ".",'WP2'!B66)</f>
        <v>2.12</v>
      </c>
      <c r="AB41" s="208"/>
      <c r="AJ41" s="217"/>
    </row>
    <row r="42" spans="2:43">
      <c r="C42" s="245"/>
      <c r="D42" s="273" t="s">
        <v>33</v>
      </c>
      <c r="E42" s="274"/>
      <c r="F42" s="274"/>
      <c r="G42" s="275"/>
      <c r="J42" s="232"/>
      <c r="K42" s="273" t="s">
        <v>34</v>
      </c>
      <c r="L42" s="274"/>
      <c r="M42" s="274"/>
      <c r="N42" s="275"/>
      <c r="W42" s="225"/>
    </row>
    <row r="43" spans="2:43">
      <c r="C43" s="246"/>
      <c r="D43" s="273" t="s">
        <v>35</v>
      </c>
      <c r="E43" s="274"/>
      <c r="F43" s="212"/>
      <c r="G43" s="213"/>
      <c r="J43" s="242"/>
      <c r="K43" s="273" t="s">
        <v>36</v>
      </c>
      <c r="L43" s="274"/>
      <c r="M43" s="212"/>
      <c r="N43" s="213"/>
      <c r="W43" s="228"/>
      <c r="X43" s="341" t="s">
        <v>22</v>
      </c>
      <c r="Y43" s="342"/>
      <c r="Z43" s="342"/>
      <c r="AA43" s="342"/>
      <c r="AB43" s="342"/>
    </row>
    <row r="44" spans="2:43">
      <c r="C44" s="243"/>
      <c r="D44" s="273" t="s">
        <v>37</v>
      </c>
      <c r="E44" s="274"/>
      <c r="F44" s="274"/>
      <c r="G44" s="275"/>
      <c r="J44" s="243"/>
      <c r="K44" s="273" t="s">
        <v>38</v>
      </c>
      <c r="L44" s="274"/>
      <c r="M44" s="274"/>
      <c r="N44" s="275"/>
      <c r="X44" s="232" t="str">
        <f>_xlfn.CONCAT('WP2'!$E$2, ".",'WP2'!B67)</f>
        <v>2.13</v>
      </c>
      <c r="Y44" s="232" t="str">
        <f>_xlfn.CONCAT('WP2'!$E$2, ".",'WP2'!B68)</f>
        <v>2.14</v>
      </c>
      <c r="Z44" s="231" t="str">
        <f>_xlfn.CONCAT('WP2'!$E$2, ".",'WP2'!B69)</f>
        <v>2.15</v>
      </c>
      <c r="AA44" s="231" t="str">
        <f>_xlfn.CONCAT('WP2'!$E$2, ".",'WP2'!B70)</f>
        <v>2.16</v>
      </c>
      <c r="AB44" s="208"/>
    </row>
    <row r="45" spans="2:43">
      <c r="C45" s="247"/>
      <c r="D45" s="276" t="s">
        <v>39</v>
      </c>
      <c r="E45" s="277"/>
      <c r="F45" s="277"/>
      <c r="G45" s="278"/>
      <c r="J45" s="244"/>
      <c r="K45" s="276" t="s">
        <v>40</v>
      </c>
      <c r="L45" s="277"/>
      <c r="M45" s="277"/>
      <c r="N45" s="278"/>
    </row>
    <row r="46" spans="2:43">
      <c r="C46" s="248"/>
    </row>
  </sheetData>
  <mergeCells count="61">
    <mergeCell ref="J31:N31"/>
    <mergeCell ref="C21:G21"/>
    <mergeCell ref="C8:G8"/>
    <mergeCell ref="C9:G9"/>
    <mergeCell ref="C16:G16"/>
    <mergeCell ref="C25:G25"/>
    <mergeCell ref="AE17:AI17"/>
    <mergeCell ref="X9:AB9"/>
    <mergeCell ref="X13:AB13"/>
    <mergeCell ref="X18:AB18"/>
    <mergeCell ref="C5:G6"/>
    <mergeCell ref="J5:N6"/>
    <mergeCell ref="Q5:U6"/>
    <mergeCell ref="X5:AB6"/>
    <mergeCell ref="AE5:AI6"/>
    <mergeCell ref="AM9:AQ9"/>
    <mergeCell ref="AM12:AQ12"/>
    <mergeCell ref="AE8:AI8"/>
    <mergeCell ref="AE9:AI9"/>
    <mergeCell ref="AE14:AI14"/>
    <mergeCell ref="C1:AQ2"/>
    <mergeCell ref="AE18:AI18"/>
    <mergeCell ref="AE38:AI38"/>
    <mergeCell ref="AM31:AQ31"/>
    <mergeCell ref="AE26:AI26"/>
    <mergeCell ref="AE23:AI24"/>
    <mergeCell ref="X31:AB31"/>
    <mergeCell ref="AE27:AI27"/>
    <mergeCell ref="AE31:AI31"/>
    <mergeCell ref="AE32:AI32"/>
    <mergeCell ref="AE35:AI35"/>
    <mergeCell ref="X32:AB32"/>
    <mergeCell ref="X35:AB35"/>
    <mergeCell ref="Q25:U25"/>
    <mergeCell ref="AM5:AQ6"/>
    <mergeCell ref="AM8:AQ8"/>
    <mergeCell ref="Q31:U31"/>
    <mergeCell ref="X8:AB8"/>
    <mergeCell ref="C41:G41"/>
    <mergeCell ref="J41:N41"/>
    <mergeCell ref="X40:AB40"/>
    <mergeCell ref="X22:AB22"/>
    <mergeCell ref="X25:AB25"/>
    <mergeCell ref="Q8:U8"/>
    <mergeCell ref="Q9:U9"/>
    <mergeCell ref="Q16:U16"/>
    <mergeCell ref="Q21:U21"/>
    <mergeCell ref="C31:G31"/>
    <mergeCell ref="J8:N8"/>
    <mergeCell ref="J9:N9"/>
    <mergeCell ref="J16:N16"/>
    <mergeCell ref="J21:N21"/>
    <mergeCell ref="X43:AB43"/>
    <mergeCell ref="AM32:AQ32"/>
    <mergeCell ref="AM36:AQ36"/>
    <mergeCell ref="AM39:AQ39"/>
    <mergeCell ref="C32:G32"/>
    <mergeCell ref="C35:G35"/>
    <mergeCell ref="J32:N32"/>
    <mergeCell ref="J35:N35"/>
    <mergeCell ref="Q32:U32"/>
  </mergeCells>
  <pageMargins left="0.25" right="0.25" top="0.75" bottom="0.75" header="0.3" footer="0.3"/>
  <pageSetup paperSize="9" scale="6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22129-E505-46BB-AAEF-5F3083D71088}">
  <dimension ref="B3:D13"/>
  <sheetViews>
    <sheetView workbookViewId="0">
      <selection activeCell="C13" sqref="C13"/>
    </sheetView>
  </sheetViews>
  <sheetFormatPr defaultRowHeight="15"/>
  <cols>
    <col min="3" max="3" width="29.5703125" customWidth="1"/>
    <col min="4" max="4" width="54.85546875" customWidth="1"/>
  </cols>
  <sheetData>
    <row r="3" spans="2:4">
      <c r="B3" s="56" t="s">
        <v>378</v>
      </c>
      <c r="C3" s="45" t="s">
        <v>379</v>
      </c>
      <c r="D3" s="44" t="s">
        <v>380</v>
      </c>
    </row>
    <row r="4" spans="2:4">
      <c r="B4" s="57" t="s">
        <v>92</v>
      </c>
      <c r="C4" s="46" t="s">
        <v>381</v>
      </c>
      <c r="D4" s="48" t="s">
        <v>382</v>
      </c>
    </row>
    <row r="5" spans="2:4">
      <c r="B5" s="57" t="s">
        <v>243</v>
      </c>
      <c r="C5" s="53" t="s">
        <v>383</v>
      </c>
      <c r="D5" s="54" t="s">
        <v>384</v>
      </c>
    </row>
    <row r="6" spans="2:4">
      <c r="B6" s="57" t="s">
        <v>385</v>
      </c>
      <c r="C6" s="46" t="s">
        <v>386</v>
      </c>
      <c r="D6" s="48" t="s">
        <v>387</v>
      </c>
    </row>
    <row r="7" spans="2:4">
      <c r="B7" s="57" t="s">
        <v>203</v>
      </c>
      <c r="C7" s="53" t="s">
        <v>388</v>
      </c>
      <c r="D7" s="54" t="s">
        <v>13</v>
      </c>
    </row>
    <row r="8" spans="2:4">
      <c r="B8" s="57" t="s">
        <v>149</v>
      </c>
      <c r="C8" s="55" t="s">
        <v>389</v>
      </c>
      <c r="D8" s="54" t="s">
        <v>390</v>
      </c>
    </row>
    <row r="9" spans="2:4">
      <c r="B9" s="57" t="s">
        <v>431</v>
      </c>
      <c r="C9" s="46" t="s">
        <v>432</v>
      </c>
      <c r="D9" s="48" t="s">
        <v>391</v>
      </c>
    </row>
    <row r="10" spans="2:4">
      <c r="B10" s="57" t="s">
        <v>151</v>
      </c>
      <c r="C10" s="46" t="s">
        <v>392</v>
      </c>
      <c r="D10" s="48" t="s">
        <v>393</v>
      </c>
    </row>
    <row r="11" spans="2:4">
      <c r="B11" s="57" t="s">
        <v>155</v>
      </c>
      <c r="C11" s="46" t="s">
        <v>394</v>
      </c>
      <c r="D11" s="48" t="s">
        <v>395</v>
      </c>
    </row>
    <row r="12" spans="2:4">
      <c r="B12" s="57" t="s">
        <v>213</v>
      </c>
      <c r="C12" s="46" t="s">
        <v>396</v>
      </c>
      <c r="D12" s="48" t="s">
        <v>9</v>
      </c>
    </row>
    <row r="13" spans="2:4">
      <c r="B13" s="59"/>
      <c r="C13" s="60"/>
      <c r="D13" s="61"/>
    </row>
  </sheetData>
  <sortState xmlns:xlrd2="http://schemas.microsoft.com/office/spreadsheetml/2017/richdata2" ref="B4:D12">
    <sortCondition ref="B4:B12"/>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1A80D-2EAB-492D-B2D5-A1DEE5F88ACD}">
  <dimension ref="A1:M102"/>
  <sheetViews>
    <sheetView topLeftCell="C35" workbookViewId="0">
      <selection activeCell="H10" sqref="H10"/>
    </sheetView>
  </sheetViews>
  <sheetFormatPr defaultRowHeight="15"/>
  <cols>
    <col min="4" max="4" width="55.42578125" customWidth="1"/>
    <col min="8" max="8" width="12.28515625" customWidth="1"/>
    <col min="9" max="9" width="29" customWidth="1"/>
    <col min="12" max="12" width="24.85546875" customWidth="1"/>
  </cols>
  <sheetData>
    <row r="1" spans="1:13">
      <c r="A1" s="389" t="s">
        <v>397</v>
      </c>
      <c r="B1" s="389"/>
      <c r="C1" s="389"/>
      <c r="D1" s="389"/>
      <c r="E1" s="389"/>
      <c r="F1" s="389"/>
      <c r="G1" s="389"/>
      <c r="H1" s="389"/>
      <c r="I1" s="389"/>
      <c r="J1" s="389"/>
      <c r="K1" s="389"/>
      <c r="L1" s="389"/>
      <c r="M1" s="389"/>
    </row>
    <row r="2" spans="1:13">
      <c r="A2" s="388" t="s">
        <v>398</v>
      </c>
      <c r="B2" s="331"/>
      <c r="C2" s="388" t="s">
        <v>399</v>
      </c>
      <c r="D2" s="388" t="s">
        <v>45</v>
      </c>
      <c r="E2" s="388" t="s">
        <v>400</v>
      </c>
      <c r="F2" s="390" t="s">
        <v>401</v>
      </c>
      <c r="G2" s="390"/>
      <c r="H2" s="388" t="s">
        <v>402</v>
      </c>
      <c r="I2" s="388" t="s">
        <v>81</v>
      </c>
      <c r="J2" s="390" t="s">
        <v>403</v>
      </c>
      <c r="K2" s="390"/>
      <c r="L2" s="388" t="s">
        <v>404</v>
      </c>
      <c r="M2" s="388" t="s">
        <v>405</v>
      </c>
    </row>
    <row r="3" spans="1:13">
      <c r="A3" s="388"/>
      <c r="B3" s="253"/>
      <c r="C3" s="388"/>
      <c r="D3" s="388"/>
      <c r="E3" s="388"/>
      <c r="F3" s="254" t="s">
        <v>406</v>
      </c>
      <c r="G3" s="255" t="s">
        <v>407</v>
      </c>
      <c r="H3" s="388"/>
      <c r="I3" s="388"/>
      <c r="J3" s="256" t="s">
        <v>408</v>
      </c>
      <c r="K3" s="257" t="s">
        <v>22</v>
      </c>
      <c r="L3" s="388"/>
      <c r="M3" s="388"/>
    </row>
    <row r="4" spans="1:13">
      <c r="A4" s="258" t="str">
        <f>_xlfn.CONCAT(WP1a!$E$2, ".",WP1a!B43)</f>
        <v>1a.1</v>
      </c>
      <c r="B4" s="259">
        <f>WP1a!B43</f>
        <v>1</v>
      </c>
      <c r="C4" s="260" t="str">
        <f>WP1a!$E$2</f>
        <v>1a</v>
      </c>
      <c r="D4" s="260" t="str">
        <f>WP1a!G43</f>
        <v>GridPP review of operation (biennial)</v>
      </c>
      <c r="E4" s="261">
        <f>WP1a!C43</f>
        <v>44136</v>
      </c>
      <c r="F4" s="261">
        <f>WP1a!C43</f>
        <v>44136</v>
      </c>
      <c r="G4" s="262" t="str">
        <f>IF(F4&gt;E4,"↑",IF(F4&lt;E4,"↓",IF(F4=E4,"↔"," ")))</f>
        <v>↔</v>
      </c>
      <c r="H4" s="263" t="str">
        <f>IF(WP1a!E43,WP1a!E43,"  ")</f>
        <v xml:space="preserve">  </v>
      </c>
      <c r="I4" s="264" t="s">
        <v>409</v>
      </c>
      <c r="J4" s="260"/>
      <c r="K4" s="260"/>
      <c r="L4" s="260"/>
      <c r="M4" s="265"/>
    </row>
    <row r="5" spans="1:13">
      <c r="A5" s="258" t="str">
        <f>_xlfn.CONCAT(WP1a!$E$2, ".",WP1a!B44)</f>
        <v>1a.2</v>
      </c>
      <c r="B5" s="259">
        <f>WP1a!B44</f>
        <v>2</v>
      </c>
      <c r="C5" s="260" t="str">
        <f>WP1a!$E$2</f>
        <v>1a</v>
      </c>
      <c r="D5" s="260" t="str">
        <f>WP1a!G44</f>
        <v>GridPP review of operation (biennial)</v>
      </c>
      <c r="E5" s="261">
        <f>WP1a!C44</f>
        <v>44835</v>
      </c>
      <c r="F5" s="261">
        <f>WP1a!C44</f>
        <v>44835</v>
      </c>
      <c r="G5" s="262" t="str">
        <f t="shared" ref="G5:G21" si="0">IF(F5&gt;E5,"↑",IF(F5&lt;E5,"↓",IF(F5=E5,"↔"," ")))</f>
        <v>↔</v>
      </c>
      <c r="H5" s="263" t="str">
        <f>IF(WP1a!E44,WP1a!E44,"  ")</f>
        <v xml:space="preserve">  </v>
      </c>
      <c r="I5" s="264" t="s">
        <v>409</v>
      </c>
      <c r="J5" s="260"/>
      <c r="K5" s="260"/>
      <c r="L5" s="260"/>
      <c r="M5" s="265"/>
    </row>
    <row r="6" spans="1:13">
      <c r="A6" s="258" t="str">
        <f>_xlfn.CONCAT(WP1a!$E$2, ".",WP1a!B45)</f>
        <v>1a.3</v>
      </c>
      <c r="B6" s="259">
        <f>WP1a!B45</f>
        <v>3</v>
      </c>
      <c r="C6" s="260" t="str">
        <f>WP1a!$E$2</f>
        <v>1a</v>
      </c>
      <c r="D6" s="260" t="str">
        <f>WP1a!G45</f>
        <v>Produce the purchasing plan</v>
      </c>
      <c r="E6" s="261">
        <f>WP1a!C45</f>
        <v>43983</v>
      </c>
      <c r="F6" s="261">
        <f>WP1a!C45</f>
        <v>43983</v>
      </c>
      <c r="G6" s="262" t="str">
        <f t="shared" si="0"/>
        <v>↔</v>
      </c>
      <c r="H6" s="263">
        <f>IF(WP1a!E45,WP1a!E45,"  ")</f>
        <v>43952</v>
      </c>
      <c r="I6" s="264" t="s">
        <v>410</v>
      </c>
      <c r="J6" s="260"/>
      <c r="K6" s="260"/>
      <c r="L6" s="260"/>
      <c r="M6" s="265"/>
    </row>
    <row r="7" spans="1:13">
      <c r="A7" s="258" t="str">
        <f>_xlfn.CONCAT(WP1a!$E$2, ".",WP1a!B46)</f>
        <v>1a.4</v>
      </c>
      <c r="B7" s="259">
        <f>WP1a!B46</f>
        <v>4</v>
      </c>
      <c r="C7" s="260" t="str">
        <f>WP1a!$E$2</f>
        <v>1a</v>
      </c>
      <c r="D7" s="260" t="str">
        <f>WP1a!G46</f>
        <v>FY20 Capacity order placed</v>
      </c>
      <c r="E7" s="261">
        <f>WP1a!C46</f>
        <v>44136</v>
      </c>
      <c r="F7" s="261">
        <f>WP1a!C46</f>
        <v>44136</v>
      </c>
      <c r="G7" s="262" t="str">
        <f t="shared" si="0"/>
        <v>↔</v>
      </c>
      <c r="H7" s="263">
        <f>IF(WP1a!E46,WP1a!E46,"  ")</f>
        <v>44013</v>
      </c>
      <c r="I7" s="264" t="s">
        <v>410</v>
      </c>
      <c r="J7" s="260"/>
      <c r="K7" s="260"/>
      <c r="L7" s="260"/>
      <c r="M7" s="265"/>
    </row>
    <row r="8" spans="1:13">
      <c r="A8" s="258" t="str">
        <f>_xlfn.CONCAT(WP1a!$E$2, ".",WP1a!B47)</f>
        <v>1a.5</v>
      </c>
      <c r="B8" s="259">
        <f>WP1a!B47</f>
        <v>5</v>
      </c>
      <c r="C8" s="260" t="str">
        <f>WP1a!$E$2</f>
        <v>1a</v>
      </c>
      <c r="D8" s="260" t="str">
        <f>WP1a!G47</f>
        <v>FY20 Purchase in production</v>
      </c>
      <c r="E8" s="261">
        <f>WP1a!C47</f>
        <v>44287</v>
      </c>
      <c r="F8" s="261">
        <f>WP1a!C47</f>
        <v>44287</v>
      </c>
      <c r="G8" s="262" t="str">
        <f t="shared" si="0"/>
        <v>↔</v>
      </c>
      <c r="H8" s="263">
        <f>IF(WP1a!E47,WP1a!E47,"  ")</f>
        <v>44348</v>
      </c>
      <c r="I8" s="264" t="s">
        <v>412</v>
      </c>
      <c r="J8" s="260"/>
      <c r="K8" s="260"/>
      <c r="L8" s="260"/>
      <c r="M8" s="265"/>
    </row>
    <row r="9" spans="1:13">
      <c r="A9" s="258" t="str">
        <f>_xlfn.CONCAT(WP1a!$E$2, ".",WP1a!B48)</f>
        <v>1a.6</v>
      </c>
      <c r="B9" s="259">
        <f>WP1a!B48</f>
        <v>6</v>
      </c>
      <c r="C9" s="260" t="str">
        <f>WP1a!$E$2</f>
        <v>1a</v>
      </c>
      <c r="D9" s="260" t="str">
        <f>WP1a!G48</f>
        <v>Tier-1 WLCG MoU commitments met</v>
      </c>
      <c r="E9" s="261">
        <f>WP1a!C48</f>
        <v>44317</v>
      </c>
      <c r="F9" s="261">
        <f>WP1a!C48</f>
        <v>44317</v>
      </c>
      <c r="G9" s="262" t="str">
        <f t="shared" si="0"/>
        <v>↔</v>
      </c>
      <c r="H9" s="263">
        <f>IF(WP1a!E48,WP1a!E48,"  ")</f>
        <v>44317</v>
      </c>
      <c r="I9" s="264" t="s">
        <v>409</v>
      </c>
      <c r="J9" s="260"/>
      <c r="K9" s="260"/>
      <c r="L9" s="260"/>
      <c r="M9" s="265"/>
    </row>
    <row r="10" spans="1:13">
      <c r="A10" s="258" t="str">
        <f>_xlfn.CONCAT(WP1a!$E$2, ".",WP1a!B49)</f>
        <v>1a.7</v>
      </c>
      <c r="B10" s="259">
        <f>WP1a!B49</f>
        <v>7</v>
      </c>
      <c r="C10" s="260" t="str">
        <f>WP1a!$E$2</f>
        <v>1a</v>
      </c>
      <c r="D10" s="260" t="str">
        <f>WP1a!G49</f>
        <v>Produce the purchasing plan</v>
      </c>
      <c r="E10" s="261">
        <f>WP1a!C49</f>
        <v>44348</v>
      </c>
      <c r="F10" s="261">
        <f>WP1a!C49</f>
        <v>44348</v>
      </c>
      <c r="G10" s="262" t="str">
        <f t="shared" si="0"/>
        <v>↔</v>
      </c>
      <c r="H10" s="263">
        <f>IF(WP1a!E49,WP1a!E49,"  ")</f>
        <v>44348</v>
      </c>
      <c r="I10" s="264" t="s">
        <v>409</v>
      </c>
      <c r="J10" s="260"/>
      <c r="K10" s="260"/>
      <c r="L10" s="260"/>
      <c r="M10" s="265"/>
    </row>
    <row r="11" spans="1:13">
      <c r="A11" s="258" t="str">
        <f>_xlfn.CONCAT(WP1a!$E$2, ".",WP1a!B50)</f>
        <v>1a.8</v>
      </c>
      <c r="B11" s="259">
        <f>WP1a!B50</f>
        <v>8</v>
      </c>
      <c r="C11" s="260" t="str">
        <f>WP1a!$E$2</f>
        <v>1a</v>
      </c>
      <c r="D11" s="260" t="str">
        <f>WP1a!G50</f>
        <v>FY21 Capacity order placed</v>
      </c>
      <c r="E11" s="261">
        <f>WP1a!C50</f>
        <v>44501</v>
      </c>
      <c r="F11" s="261">
        <f>WP1a!C50</f>
        <v>44501</v>
      </c>
      <c r="G11" s="262" t="str">
        <f t="shared" si="0"/>
        <v>↔</v>
      </c>
      <c r="H11" s="263">
        <f>IF(WP1a!E50,WP1a!E50,"  ")</f>
        <v>44409</v>
      </c>
      <c r="I11" s="264" t="s">
        <v>409</v>
      </c>
      <c r="J11" s="260"/>
      <c r="K11" s="260"/>
      <c r="L11" s="260"/>
      <c r="M11" s="265"/>
    </row>
    <row r="12" spans="1:13">
      <c r="A12" s="258" t="str">
        <f>_xlfn.CONCAT(WP1a!$E$2, ".",WP1a!B51)</f>
        <v>1a.9</v>
      </c>
      <c r="B12" s="259">
        <f>WP1a!B51</f>
        <v>9</v>
      </c>
      <c r="C12" s="260" t="str">
        <f>WP1a!$E$2</f>
        <v>1a</v>
      </c>
      <c r="D12" s="260" t="str">
        <f>WP1a!G51</f>
        <v>FY21 Purchase in production</v>
      </c>
      <c r="E12" s="261">
        <f>WP1a!C51</f>
        <v>44652</v>
      </c>
      <c r="F12" s="261">
        <f>WP1a!C51</f>
        <v>44652</v>
      </c>
      <c r="G12" s="262" t="str">
        <f t="shared" si="0"/>
        <v>↔</v>
      </c>
      <c r="H12" s="263" t="str">
        <f>IF(WP1a!E51,WP1a!E51,"  ")</f>
        <v xml:space="preserve">  </v>
      </c>
      <c r="I12" s="264" t="s">
        <v>409</v>
      </c>
      <c r="J12" s="260"/>
      <c r="K12" s="260"/>
      <c r="L12" s="260"/>
      <c r="M12" s="265"/>
    </row>
    <row r="13" spans="1:13">
      <c r="A13" s="258" t="str">
        <f>_xlfn.CONCAT(WP1a!$E$2, ".",WP1a!B52)</f>
        <v>1a.10</v>
      </c>
      <c r="B13" s="259">
        <f>WP1a!B52</f>
        <v>10</v>
      </c>
      <c r="C13" s="260" t="str">
        <f>WP1a!$E$2</f>
        <v>1a</v>
      </c>
      <c r="D13" s="260" t="str">
        <f>WP1a!G52</f>
        <v>Tier-1 WLCG MoU commitments met</v>
      </c>
      <c r="E13" s="261">
        <f>WP1a!C52</f>
        <v>44682</v>
      </c>
      <c r="F13" s="261">
        <f>WP1a!C52</f>
        <v>44682</v>
      </c>
      <c r="G13" s="262" t="str">
        <f t="shared" si="0"/>
        <v>↔</v>
      </c>
      <c r="H13" s="263">
        <f>IF(WP1a!E52,WP1a!E52,"  ")</f>
        <v>44652</v>
      </c>
      <c r="I13" s="264" t="s">
        <v>409</v>
      </c>
      <c r="J13" s="260"/>
      <c r="K13" s="260"/>
      <c r="L13" s="260"/>
      <c r="M13" s="265"/>
    </row>
    <row r="14" spans="1:13">
      <c r="A14" s="258" t="str">
        <f>_xlfn.CONCAT(WP1a!$E$2, ".",WP1a!B53)</f>
        <v>1a.11</v>
      </c>
      <c r="B14" s="259">
        <f>WP1a!B53</f>
        <v>11</v>
      </c>
      <c r="C14" s="260" t="str">
        <f>WP1a!$E$2</f>
        <v>1a</v>
      </c>
      <c r="D14" s="260" t="str">
        <f>WP1a!G53</f>
        <v>Produce the purchasing plan</v>
      </c>
      <c r="E14" s="261">
        <f>WP1a!C53</f>
        <v>44713</v>
      </c>
      <c r="F14" s="261">
        <f>WP1a!C53</f>
        <v>44713</v>
      </c>
      <c r="G14" s="262" t="str">
        <f t="shared" si="0"/>
        <v>↔</v>
      </c>
      <c r="H14" s="263">
        <f>IF(WP1a!E53,WP1a!E53,"  ")</f>
        <v>44652</v>
      </c>
      <c r="I14" s="264" t="s">
        <v>409</v>
      </c>
      <c r="J14" s="260"/>
      <c r="K14" s="260"/>
      <c r="L14" s="260"/>
      <c r="M14" s="265"/>
    </row>
    <row r="15" spans="1:13">
      <c r="A15" s="258" t="str">
        <f>_xlfn.CONCAT(WP1a!$E$2, ".",WP1a!B54)</f>
        <v>1a.12</v>
      </c>
      <c r="B15" s="259">
        <f>WP1a!B54</f>
        <v>12</v>
      </c>
      <c r="C15" s="260" t="str">
        <f>WP1a!$E$2</f>
        <v>1a</v>
      </c>
      <c r="D15" s="260" t="str">
        <f>WP1a!G54</f>
        <v>FY22 Capacity order placed</v>
      </c>
      <c r="E15" s="261">
        <f>WP1a!C54</f>
        <v>44866</v>
      </c>
      <c r="F15" s="261">
        <f>WP1a!C54</f>
        <v>44866</v>
      </c>
      <c r="G15" s="262" t="str">
        <f t="shared" si="0"/>
        <v>↔</v>
      </c>
      <c r="H15" s="263" t="str">
        <f>IF(WP1a!E54,WP1a!E54,"  ")</f>
        <v xml:space="preserve">  </v>
      </c>
      <c r="I15" s="264" t="s">
        <v>409</v>
      </c>
      <c r="J15" s="260"/>
      <c r="K15" s="260"/>
      <c r="L15" s="260"/>
      <c r="M15" s="265"/>
    </row>
    <row r="16" spans="1:13">
      <c r="A16" s="258" t="str">
        <f>_xlfn.CONCAT(WP1a!$E$2, ".",WP1a!B55)</f>
        <v>1a.13</v>
      </c>
      <c r="B16" s="259">
        <f>WP1a!B55</f>
        <v>13</v>
      </c>
      <c r="C16" s="260" t="str">
        <f>WP1a!$E$2</f>
        <v>1a</v>
      </c>
      <c r="D16" s="260" t="str">
        <f>WP1a!G55</f>
        <v>FY22 Purchase in production</v>
      </c>
      <c r="E16" s="261">
        <f>WP1a!C55</f>
        <v>45017</v>
      </c>
      <c r="F16" s="261">
        <f>WP1a!C55</f>
        <v>45017</v>
      </c>
      <c r="G16" s="262" t="str">
        <f t="shared" si="0"/>
        <v>↔</v>
      </c>
      <c r="H16" s="263" t="str">
        <f>IF(WP1a!E55,WP1a!E55,"  ")</f>
        <v xml:space="preserve">  </v>
      </c>
      <c r="I16" s="264" t="s">
        <v>409</v>
      </c>
      <c r="J16" s="260"/>
      <c r="K16" s="260"/>
      <c r="L16" s="260"/>
      <c r="M16" s="265"/>
    </row>
    <row r="17" spans="1:13">
      <c r="A17" s="258" t="str">
        <f>_xlfn.CONCAT(WP1a!$E$2, ".",WP1a!B56)</f>
        <v>1a.14</v>
      </c>
      <c r="B17" s="259">
        <f>WP1a!B56</f>
        <v>14</v>
      </c>
      <c r="C17" s="260" t="str">
        <f>WP1a!$E$2</f>
        <v>1a</v>
      </c>
      <c r="D17" s="260" t="str">
        <f>WP1a!G56</f>
        <v>Tier-1 WLCG MoU commitments met</v>
      </c>
      <c r="E17" s="261">
        <f>WP1a!C56</f>
        <v>45047</v>
      </c>
      <c r="F17" s="261">
        <f>WP1a!C56</f>
        <v>45047</v>
      </c>
      <c r="G17" s="262" t="str">
        <f t="shared" si="0"/>
        <v>↔</v>
      </c>
      <c r="H17" s="263" t="str">
        <f>IF(WP1a!E56,WP1a!E56,"  ")</f>
        <v xml:space="preserve">  </v>
      </c>
      <c r="I17" s="264" t="s">
        <v>409</v>
      </c>
      <c r="J17" s="260"/>
      <c r="K17" s="260"/>
      <c r="L17" s="260"/>
      <c r="M17" s="265"/>
    </row>
    <row r="18" spans="1:13">
      <c r="A18" s="258" t="str">
        <f>_xlfn.CONCAT(WP1a!$E$2, ".",WP1a!B57)</f>
        <v>1a.15</v>
      </c>
      <c r="B18" s="259">
        <f>WP1a!B57</f>
        <v>15</v>
      </c>
      <c r="C18" s="260" t="str">
        <f>WP1a!$E$2</f>
        <v>1a</v>
      </c>
      <c r="D18" s="260" t="str">
        <f>WP1a!G57</f>
        <v>Produce the purchasing plan</v>
      </c>
      <c r="E18" s="261">
        <f>WP1a!C57</f>
        <v>45078</v>
      </c>
      <c r="F18" s="261">
        <f>WP1a!C57</f>
        <v>45078</v>
      </c>
      <c r="G18" s="262" t="str">
        <f t="shared" si="0"/>
        <v>↔</v>
      </c>
      <c r="H18" s="263" t="str">
        <f>IF(WP1a!E57,WP1a!E57,"  ")</f>
        <v xml:space="preserve">  </v>
      </c>
      <c r="I18" s="264" t="s">
        <v>409</v>
      </c>
      <c r="J18" s="260"/>
      <c r="K18" s="260"/>
      <c r="L18" s="260"/>
      <c r="M18" s="265"/>
    </row>
    <row r="19" spans="1:13">
      <c r="A19" s="258" t="str">
        <f>_xlfn.CONCAT(WP1a!$E$2, ".",WP1a!B58)</f>
        <v>1a.16</v>
      </c>
      <c r="B19" s="259">
        <f>WP1a!B58</f>
        <v>16</v>
      </c>
      <c r="C19" s="260" t="str">
        <f>WP1a!$E$2</f>
        <v>1a</v>
      </c>
      <c r="D19" s="260" t="str">
        <f>WP1a!G58</f>
        <v>FY23 Capacity order placed</v>
      </c>
      <c r="E19" s="261">
        <f>WP1a!C58</f>
        <v>45231</v>
      </c>
      <c r="F19" s="261">
        <f>WP1a!C58</f>
        <v>45231</v>
      </c>
      <c r="G19" s="262" t="str">
        <f t="shared" si="0"/>
        <v>↔</v>
      </c>
      <c r="H19" s="263" t="str">
        <f>IF(WP1a!E58,WP1a!E58,"  ")</f>
        <v xml:space="preserve">  </v>
      </c>
      <c r="I19" s="264" t="s">
        <v>409</v>
      </c>
      <c r="J19" s="260"/>
      <c r="K19" s="260"/>
      <c r="L19" s="260"/>
      <c r="M19" s="265"/>
    </row>
    <row r="20" spans="1:13">
      <c r="A20" s="258" t="str">
        <f>_xlfn.CONCAT(WP1a!$E$2, ".",WP1a!B59)</f>
        <v>1a.17</v>
      </c>
      <c r="B20" s="259">
        <f>WP1a!B59</f>
        <v>17</v>
      </c>
      <c r="C20" s="260" t="str">
        <f>WP1a!$E$2</f>
        <v>1a</v>
      </c>
      <c r="D20" s="260" t="str">
        <f>WP1a!G59</f>
        <v>FY23 Purchase in production</v>
      </c>
      <c r="E20" s="261">
        <f>WP1a!C59</f>
        <v>45383</v>
      </c>
      <c r="F20" s="261">
        <f>WP1a!C59</f>
        <v>45383</v>
      </c>
      <c r="G20" s="262" t="str">
        <f t="shared" si="0"/>
        <v>↔</v>
      </c>
      <c r="H20" s="263" t="str">
        <f>IF(WP1a!E59,WP1a!E59,"  ")</f>
        <v xml:space="preserve">  </v>
      </c>
      <c r="I20" s="264" t="s">
        <v>409</v>
      </c>
      <c r="J20" s="260"/>
      <c r="K20" s="260"/>
      <c r="L20" s="260"/>
      <c r="M20" s="265"/>
    </row>
    <row r="21" spans="1:13">
      <c r="A21" s="258" t="str">
        <f>_xlfn.CONCAT(WP1a!$E$2, ".",WP1a!B60)</f>
        <v>1a.18</v>
      </c>
      <c r="B21" s="259">
        <f>WP1a!B60</f>
        <v>18</v>
      </c>
      <c r="C21" s="260" t="str">
        <f>WP1a!$E$2</f>
        <v>1a</v>
      </c>
      <c r="D21" s="260" t="str">
        <f>WP1a!G60</f>
        <v>Tier-1 WLCG MoU commitments met</v>
      </c>
      <c r="E21" s="261">
        <f>WP1a!C60</f>
        <v>45413</v>
      </c>
      <c r="F21" s="261">
        <f>WP1a!C60</f>
        <v>45413</v>
      </c>
      <c r="G21" s="262" t="str">
        <f t="shared" si="0"/>
        <v>↔</v>
      </c>
      <c r="H21" s="263" t="str">
        <f>IF(WP1a!E60,WP1a!E60,"  ")</f>
        <v xml:space="preserve">  </v>
      </c>
      <c r="I21" s="264" t="s">
        <v>409</v>
      </c>
      <c r="J21" s="260"/>
      <c r="K21" s="260"/>
      <c r="L21" s="260"/>
      <c r="M21" s="265"/>
    </row>
    <row r="22" spans="1:13">
      <c r="A22" s="258" t="str">
        <f>_xlfn.CONCAT(WP1b!$E$2, ".",WP1b!B30)</f>
        <v>1b.1</v>
      </c>
      <c r="B22" s="259">
        <f>WP1b!B30</f>
        <v>1</v>
      </c>
      <c r="C22" s="260" t="str">
        <f>WP1b!$E$2</f>
        <v>1b</v>
      </c>
      <c r="D22" s="260" t="str">
        <f>WP1b!G30</f>
        <v>Allocate Tier-2 funds based on performance/utilisation</v>
      </c>
      <c r="E22" s="261">
        <f>WP1b!C30</f>
        <v>43983</v>
      </c>
      <c r="F22" s="261">
        <f>WP1b!C30</f>
        <v>43983</v>
      </c>
      <c r="G22" s="262" t="str">
        <f>IF(F22&gt;E22,"↑",IF(F22&lt;E22,"↓",IF(F22=E22,"↔"," ")))</f>
        <v>↔</v>
      </c>
      <c r="H22" s="263">
        <f>IF(WP1b!E30,WP1b!E30,"  ")</f>
        <v>43922</v>
      </c>
      <c r="I22" s="264" t="s">
        <v>410</v>
      </c>
      <c r="J22" s="260"/>
      <c r="K22" s="260"/>
      <c r="L22" s="260"/>
      <c r="M22" s="265"/>
    </row>
    <row r="23" spans="1:13">
      <c r="A23" s="258" t="str">
        <f>_xlfn.CONCAT(WP1b!$E$2, ".",WP1b!B31)</f>
        <v>1b.2</v>
      </c>
      <c r="B23" s="259">
        <f>WP1b!B31</f>
        <v>2</v>
      </c>
      <c r="C23" s="260" t="str">
        <f>WP1b!$E$2</f>
        <v>1b</v>
      </c>
      <c r="D23" s="260" t="str">
        <f>WP1b!G31</f>
        <v>FY21/22 Pocurements commence</v>
      </c>
      <c r="E23" s="261">
        <f>WP1b!C31</f>
        <v>44470</v>
      </c>
      <c r="F23" s="261">
        <f>WP1b!C31</f>
        <v>44470</v>
      </c>
      <c r="G23" s="262" t="str">
        <f t="shared" ref="G23:G30" si="1">IF(F23&gt;E23,"↑",IF(F23&lt;E23,"↓",IF(F23=E23,"↔"," ")))</f>
        <v>↔</v>
      </c>
      <c r="H23" s="263">
        <f>IF(WP1b!E31,WP1b!E31,"  ")</f>
        <v>44470</v>
      </c>
      <c r="I23" s="264" t="s">
        <v>409</v>
      </c>
      <c r="J23" s="260"/>
      <c r="K23" s="260"/>
      <c r="L23" s="260"/>
      <c r="M23" s="265"/>
    </row>
    <row r="24" spans="1:13">
      <c r="A24" s="258" t="str">
        <f>_xlfn.CONCAT(WP1b!$E$2, ".",WP1b!B32)</f>
        <v>1b.3</v>
      </c>
      <c r="B24" s="259">
        <f>WP1b!B32</f>
        <v>3</v>
      </c>
      <c r="C24" s="260" t="str">
        <f>WP1b!$E$2</f>
        <v>1b</v>
      </c>
      <c r="D24" s="260" t="str">
        <f>WP1b!G32</f>
        <v>FY21/22 Procurements completed</v>
      </c>
      <c r="E24" s="261">
        <f>WP1b!C32</f>
        <v>44652</v>
      </c>
      <c r="F24" s="261">
        <f>WP1b!C32</f>
        <v>44652</v>
      </c>
      <c r="G24" s="262" t="str">
        <f t="shared" si="1"/>
        <v>↔</v>
      </c>
      <c r="H24" s="263">
        <f>IF(WP1b!E32,WP1b!E32,"  ")</f>
        <v>44652</v>
      </c>
      <c r="I24" s="264" t="s">
        <v>409</v>
      </c>
      <c r="J24" s="260"/>
      <c r="K24" s="260"/>
      <c r="L24" s="260"/>
      <c r="M24" s="265"/>
    </row>
    <row r="25" spans="1:13">
      <c r="A25" s="258" t="str">
        <f>_xlfn.CONCAT(WP1b!$E$2, ".",WP1b!B33)</f>
        <v>1b.4</v>
      </c>
      <c r="B25" s="259">
        <f>WP1b!B33</f>
        <v>4</v>
      </c>
      <c r="C25" s="260" t="str">
        <f>WP1b!$E$2</f>
        <v>1b</v>
      </c>
      <c r="D25" s="260" t="str">
        <f>WP1b!G33</f>
        <v>Allocate Tier-2 funds based on performance/utilisation</v>
      </c>
      <c r="E25" s="261">
        <f>WP1b!C33</f>
        <v>44713</v>
      </c>
      <c r="F25" s="261">
        <f>WP1b!C33</f>
        <v>44713</v>
      </c>
      <c r="G25" s="262" t="str">
        <f t="shared" si="1"/>
        <v>↔</v>
      </c>
      <c r="H25" s="263">
        <f>IF(WP1b!E33,WP1b!E33,"  ")</f>
        <v>44531</v>
      </c>
      <c r="I25" s="264" t="s">
        <v>409</v>
      </c>
      <c r="J25" s="260"/>
      <c r="K25" s="260"/>
      <c r="L25" s="260"/>
      <c r="M25" s="265"/>
    </row>
    <row r="26" spans="1:13">
      <c r="A26" s="258" t="str">
        <f>_xlfn.CONCAT(WP1b!$E$2, ".",WP1b!B34)</f>
        <v>1b.5</v>
      </c>
      <c r="B26" s="259">
        <f>WP1b!B34</f>
        <v>5</v>
      </c>
      <c r="C26" s="260" t="str">
        <f>WP1b!$E$2</f>
        <v>1b</v>
      </c>
      <c r="D26" s="260" t="str">
        <f>WP1b!G34</f>
        <v>FY22/23 Pocurements commence</v>
      </c>
      <c r="E26" s="261">
        <f>WP1b!C34</f>
        <v>44835</v>
      </c>
      <c r="F26" s="261">
        <f>WP1b!C34</f>
        <v>44835</v>
      </c>
      <c r="G26" s="262" t="str">
        <f t="shared" si="1"/>
        <v>↔</v>
      </c>
      <c r="H26" s="263" t="str">
        <f>IF(WP1b!E34,WP1b!E34,"  ")</f>
        <v xml:space="preserve">  </v>
      </c>
      <c r="I26" s="264" t="s">
        <v>409</v>
      </c>
      <c r="J26" s="260"/>
      <c r="K26" s="260"/>
      <c r="L26" s="260"/>
      <c r="M26" s="265"/>
    </row>
    <row r="27" spans="1:13">
      <c r="A27" s="258" t="str">
        <f>_xlfn.CONCAT(WP1b!$E$2, ".",WP1b!B35)</f>
        <v>1b.6</v>
      </c>
      <c r="B27" s="259">
        <f>WP1b!B35</f>
        <v>6</v>
      </c>
      <c r="C27" s="260" t="str">
        <f>WP1b!$E$2</f>
        <v>1b</v>
      </c>
      <c r="D27" s="260" t="str">
        <f>WP1b!G35</f>
        <v>FY22/23 Procurements completed</v>
      </c>
      <c r="E27" s="261">
        <f>WP1b!C35</f>
        <v>45017</v>
      </c>
      <c r="F27" s="261">
        <f>WP1b!C35</f>
        <v>45017</v>
      </c>
      <c r="G27" s="262" t="str">
        <f t="shared" si="1"/>
        <v>↔</v>
      </c>
      <c r="H27" s="263" t="str">
        <f>IF(WP1b!E35,WP1b!E35,"  ")</f>
        <v xml:space="preserve">  </v>
      </c>
      <c r="I27" s="264" t="s">
        <v>409</v>
      </c>
      <c r="J27" s="260"/>
      <c r="K27" s="260"/>
      <c r="L27" s="260"/>
      <c r="M27" s="265"/>
    </row>
    <row r="28" spans="1:13">
      <c r="A28" s="258" t="str">
        <f>_xlfn.CONCAT(WP1b!$E$2, ".",WP1b!B36)</f>
        <v>1b.7</v>
      </c>
      <c r="B28" s="259">
        <f>WP1b!B36</f>
        <v>7</v>
      </c>
      <c r="C28" s="260" t="str">
        <f>WP1b!$E$2</f>
        <v>1b</v>
      </c>
      <c r="D28" s="260" t="str">
        <f>WP1b!G36</f>
        <v>Review and set WLCG Pledges</v>
      </c>
      <c r="E28" s="261">
        <f>WP1b!C36</f>
        <v>44044</v>
      </c>
      <c r="F28" s="261">
        <f>WP1b!C36</f>
        <v>44044</v>
      </c>
      <c r="G28" s="262" t="str">
        <f t="shared" si="1"/>
        <v>↔</v>
      </c>
      <c r="H28" s="263">
        <f>IF(WP1b!E36,WP1b!E36,"  ")</f>
        <v>44044</v>
      </c>
      <c r="I28" s="264" t="s">
        <v>409</v>
      </c>
      <c r="J28" s="260"/>
      <c r="K28" s="260"/>
      <c r="L28" s="260"/>
      <c r="M28" s="265"/>
    </row>
    <row r="29" spans="1:13">
      <c r="A29" s="258" t="str">
        <f>_xlfn.CONCAT(WP1b!$E$2, ".",WP1b!B37)</f>
        <v>1b.8</v>
      </c>
      <c r="B29" s="259">
        <f>WP1b!B37</f>
        <v>8</v>
      </c>
      <c r="C29" s="260" t="str">
        <f>WP1b!$E$2</f>
        <v>1b</v>
      </c>
      <c r="D29" s="260" t="str">
        <f>WP1b!G37</f>
        <v>Review and set WLCG Pledges</v>
      </c>
      <c r="E29" s="261">
        <f>WP1b!C37</f>
        <v>44409</v>
      </c>
      <c r="F29" s="261">
        <f>WP1b!C37</f>
        <v>44409</v>
      </c>
      <c r="G29" s="262" t="str">
        <f t="shared" si="1"/>
        <v>↔</v>
      </c>
      <c r="H29" s="263">
        <f>IF(WP1b!E37,WP1b!E37,"  ")</f>
        <v>44409</v>
      </c>
      <c r="I29" s="264" t="s">
        <v>409</v>
      </c>
      <c r="J29" s="260"/>
      <c r="K29" s="260"/>
      <c r="L29" s="260"/>
      <c r="M29" s="265"/>
    </row>
    <row r="30" spans="1:13">
      <c r="A30" s="258" t="str">
        <f>_xlfn.CONCAT(WP1b!$E$2, ".",WP1b!B38)</f>
        <v>1b.9</v>
      </c>
      <c r="B30" s="259">
        <f>WP1b!B38</f>
        <v>9</v>
      </c>
      <c r="C30" s="260" t="str">
        <f>WP1b!$E$2</f>
        <v>1b</v>
      </c>
      <c r="D30" s="260" t="str">
        <f>WP1b!G38</f>
        <v>Review and set WLCG Pledges</v>
      </c>
      <c r="E30" s="261">
        <f>WP1b!C38</f>
        <v>44774</v>
      </c>
      <c r="F30" s="261">
        <f>WP1b!C38</f>
        <v>44774</v>
      </c>
      <c r="G30" s="262" t="str">
        <f t="shared" si="1"/>
        <v>↔</v>
      </c>
      <c r="H30" s="263" t="str">
        <f>IF(WP1b!E38,WP1b!E38,"  ")</f>
        <v xml:space="preserve">  </v>
      </c>
      <c r="I30" s="264" t="s">
        <v>409</v>
      </c>
      <c r="J30" s="260"/>
      <c r="K30" s="260"/>
      <c r="L30" s="260"/>
      <c r="M30" s="265"/>
    </row>
    <row r="31" spans="1:13">
      <c r="A31" s="258" t="str">
        <f>_xlfn.CONCAT(WP1b!$E$2, ".",WP1b!B39)</f>
        <v>1b.10</v>
      </c>
      <c r="B31" s="259">
        <f>WP1b!B39</f>
        <v>10</v>
      </c>
      <c r="C31" s="260" t="str">
        <f>WP1b!$E$2</f>
        <v>1b</v>
      </c>
      <c r="D31" s="260" t="str">
        <f>WP1b!G39</f>
        <v>Review and set WLCG Pledges</v>
      </c>
      <c r="E31" s="261">
        <f>WP1b!C39</f>
        <v>45139</v>
      </c>
      <c r="F31" s="261">
        <f>WP1b!C39</f>
        <v>45139</v>
      </c>
      <c r="G31" s="262" t="str">
        <f>IF(F31&gt;E31,"↑",IF(F31&lt;E31,"↓",IF(F31=E31,"↔"," ")))</f>
        <v>↔</v>
      </c>
      <c r="H31" s="263" t="str">
        <f>IF(WP1b!E39,WP1b!E39,"  ")</f>
        <v xml:space="preserve">  </v>
      </c>
      <c r="I31" s="264" t="s">
        <v>409</v>
      </c>
      <c r="J31" s="260"/>
      <c r="K31" s="260"/>
      <c r="L31" s="260"/>
      <c r="M31" s="265"/>
    </row>
    <row r="32" spans="1:13">
      <c r="A32" s="258" t="str">
        <f>_xlfn.CONCAT(WP1c!$E$2, ".",WP1c!B25)</f>
        <v>1c.1</v>
      </c>
      <c r="B32" s="259">
        <f>WP1c!B25</f>
        <v>1</v>
      </c>
      <c r="C32" s="260" t="str">
        <f>WP1c!$E$2</f>
        <v>1c</v>
      </c>
      <c r="D32" s="260" t="str">
        <f>WP1c!G25</f>
        <v>GridPP-wide security communication challenge</v>
      </c>
      <c r="E32" s="261">
        <f>WP1c!C25</f>
        <v>44287</v>
      </c>
      <c r="F32" s="261">
        <f>WP1c!C25</f>
        <v>44287</v>
      </c>
      <c r="G32" s="262" t="str">
        <f>IF(F32&gt;E32,"↑",IF(F32&lt;E32,"↓",IF(F32=E32,"↔"," ")))</f>
        <v>↔</v>
      </c>
      <c r="H32" s="263">
        <f>IF(WP1c!E25,WP1c!E25,"  ")</f>
        <v>44013</v>
      </c>
      <c r="I32" s="264" t="s">
        <v>410</v>
      </c>
      <c r="J32" s="260"/>
      <c r="K32" s="260"/>
      <c r="L32" s="260"/>
      <c r="M32" s="265"/>
    </row>
    <row r="33" spans="1:13">
      <c r="A33" s="258" t="str">
        <f>_xlfn.CONCAT(WP1c!$E$2, ".",WP1c!B26)</f>
        <v>1c.2</v>
      </c>
      <c r="B33" s="259">
        <f>WP1c!B26</f>
        <v>2</v>
      </c>
      <c r="C33" s="260" t="str">
        <f>WP1c!$E$2</f>
        <v>1c</v>
      </c>
      <c r="D33" s="260" t="str">
        <f>WP1c!G26</f>
        <v>GridPP-wide security communication challenge</v>
      </c>
      <c r="E33" s="261">
        <f>WP1c!C26</f>
        <v>44652</v>
      </c>
      <c r="F33" s="261">
        <f>WP1c!C26</f>
        <v>44652</v>
      </c>
      <c r="G33" s="262" t="str">
        <f t="shared" ref="G33:G38" si="2">IF(F33&gt;E33,"↑",IF(F33&lt;E33,"↓",IF(F33=E33,"↔"," ")))</f>
        <v>↔</v>
      </c>
      <c r="H33" s="263">
        <f>IF(WP1c!E26,WP1c!E26,"  ")</f>
        <v>44501</v>
      </c>
      <c r="I33" s="264" t="s">
        <v>409</v>
      </c>
      <c r="J33" s="260"/>
      <c r="K33" s="260"/>
      <c r="L33" s="260"/>
      <c r="M33" s="265"/>
    </row>
    <row r="34" spans="1:13">
      <c r="A34" s="258" t="str">
        <f>_xlfn.CONCAT(WP1c!$E$2, ".",WP1c!B27)</f>
        <v>1c.3</v>
      </c>
      <c r="B34" s="259">
        <f>WP1c!B27</f>
        <v>3</v>
      </c>
      <c r="C34" s="260" t="str">
        <f>WP1c!$E$2</f>
        <v>1c</v>
      </c>
      <c r="D34" s="260" t="str">
        <f>WP1c!G27</f>
        <v>GridPP-wide security communication challenge</v>
      </c>
      <c r="E34" s="261">
        <f>WP1c!C27</f>
        <v>45017</v>
      </c>
      <c r="F34" s="261">
        <f>WP1c!C27</f>
        <v>45017</v>
      </c>
      <c r="G34" s="262" t="str">
        <f t="shared" si="2"/>
        <v>↔</v>
      </c>
      <c r="H34" s="263" t="str">
        <f>IF(WP1c!E27,WP1c!E27,"  ")</f>
        <v xml:space="preserve">  </v>
      </c>
      <c r="I34" s="264" t="s">
        <v>409</v>
      </c>
      <c r="J34" s="260"/>
      <c r="K34" s="260"/>
      <c r="L34" s="260"/>
      <c r="M34" s="265"/>
    </row>
    <row r="35" spans="1:13">
      <c r="A35" s="258" t="str">
        <f>_xlfn.CONCAT(WP1c!$E$2, ".",WP1c!B28)</f>
        <v>1c.4</v>
      </c>
      <c r="B35" s="259">
        <f>WP1c!B28</f>
        <v>4</v>
      </c>
      <c r="C35" s="260" t="str">
        <f>WP1c!$E$2</f>
        <v>1c</v>
      </c>
      <c r="D35" s="260" t="str">
        <f>WP1c!G28</f>
        <v>GridPP-wide security communication challenge</v>
      </c>
      <c r="E35" s="261">
        <f>WP1c!C28</f>
        <v>45383</v>
      </c>
      <c r="F35" s="261">
        <f>WP1c!C28</f>
        <v>45383</v>
      </c>
      <c r="G35" s="262" t="str">
        <f t="shared" si="2"/>
        <v>↔</v>
      </c>
      <c r="H35" s="263" t="str">
        <f>IF(WP1c!E28,WP1c!E28,"  ")</f>
        <v xml:space="preserve">  </v>
      </c>
      <c r="I35" s="264" t="s">
        <v>409</v>
      </c>
      <c r="J35" s="260"/>
      <c r="K35" s="260"/>
      <c r="L35" s="260"/>
      <c r="M35" s="265"/>
    </row>
    <row r="36" spans="1:13">
      <c r="A36" s="258" t="str">
        <f>_xlfn.CONCAT(WP1c!$E$2, ".",WP1c!B29)</f>
        <v>1c.5</v>
      </c>
      <c r="B36" s="259">
        <f>WP1c!B29</f>
        <v>5</v>
      </c>
      <c r="C36" s="260" t="str">
        <f>WP1c!$E$2</f>
        <v>1c</v>
      </c>
      <c r="D36" s="260" t="str">
        <f>WP1c!G29</f>
        <v>GridPP-wide security training event</v>
      </c>
      <c r="E36" s="261">
        <f>WP1c!C29</f>
        <v>44652</v>
      </c>
      <c r="F36" s="261">
        <f>WP1c!C29</f>
        <v>44652</v>
      </c>
      <c r="G36" s="262" t="str">
        <f t="shared" si="2"/>
        <v>↔</v>
      </c>
      <c r="H36" s="263">
        <f>IF(WP1c!E29,WP1c!E29,"  ")</f>
        <v>44013</v>
      </c>
      <c r="I36" s="264" t="s">
        <v>409</v>
      </c>
      <c r="J36" s="260"/>
      <c r="K36" s="260"/>
      <c r="L36" s="260"/>
      <c r="M36" s="265"/>
    </row>
    <row r="37" spans="1:13">
      <c r="A37" s="258" t="str">
        <f>_xlfn.CONCAT(WP1c!$E$2, ".",WP1c!B30)</f>
        <v>1c.6</v>
      </c>
      <c r="B37" s="259">
        <f>WP1c!B30</f>
        <v>6</v>
      </c>
      <c r="C37" s="260" t="str">
        <f>WP1c!$E$2</f>
        <v>1c</v>
      </c>
      <c r="D37" s="260" t="str">
        <f>WP1c!G30</f>
        <v>GridPP-wide security training event</v>
      </c>
      <c r="E37" s="261">
        <f>WP1c!C30</f>
        <v>45383</v>
      </c>
      <c r="F37" s="261">
        <f>WP1c!C30</f>
        <v>45383</v>
      </c>
      <c r="G37" s="262" t="str">
        <f t="shared" si="2"/>
        <v>↔</v>
      </c>
      <c r="H37" s="263" t="str">
        <f>IF(WP1c!E30,WP1c!E30,"  ")</f>
        <v xml:space="preserve">  </v>
      </c>
      <c r="I37" s="264" t="s">
        <v>409</v>
      </c>
      <c r="J37" s="260"/>
      <c r="K37" s="260"/>
      <c r="L37" s="260"/>
      <c r="M37" s="265"/>
    </row>
    <row r="38" spans="1:13">
      <c r="A38" s="258" t="str">
        <f>_xlfn.CONCAT(WP1c!$E$2, ".",WP1c!B31)</f>
        <v>1c.7</v>
      </c>
      <c r="B38" s="259">
        <f>WP1c!B31</f>
        <v>7</v>
      </c>
      <c r="C38" s="260" t="str">
        <f>WP1c!$E$2</f>
        <v>1c</v>
      </c>
      <c r="D38" s="260" t="str">
        <f>WP1c!G31</f>
        <v>Review of the role of the security team</v>
      </c>
      <c r="E38" s="261">
        <f>WP1c!C31</f>
        <v>44652</v>
      </c>
      <c r="F38" s="261">
        <f>WP1c!C31</f>
        <v>44652</v>
      </c>
      <c r="G38" s="262" t="str">
        <f t="shared" si="2"/>
        <v>↔</v>
      </c>
      <c r="H38" s="263" t="str">
        <f>IF(WP1c!E31,WP1c!E31,"  ")</f>
        <v xml:space="preserve">  </v>
      </c>
      <c r="I38" s="264" t="s">
        <v>409</v>
      </c>
      <c r="J38" s="260"/>
      <c r="K38" s="260"/>
      <c r="L38" s="260"/>
      <c r="M38" s="265"/>
    </row>
    <row r="39" spans="1:13">
      <c r="A39" s="258" t="str">
        <f>_xlfn.CONCAT('WP2'!$E$2, ".",'WP2'!B55)</f>
        <v>2.1</v>
      </c>
      <c r="B39" s="259">
        <f>'WP2'!B55</f>
        <v>1</v>
      </c>
      <c r="C39" s="260">
        <f>'WP2'!$E$2</f>
        <v>2</v>
      </c>
      <c r="D39" s="260" t="str">
        <f>'WP2'!G55</f>
        <v>Report on delivery to ATLAS during year</v>
      </c>
      <c r="E39" s="261">
        <f>'WP2'!C55</f>
        <v>44166</v>
      </c>
      <c r="F39" s="261">
        <f>'WP2'!C55</f>
        <v>44166</v>
      </c>
      <c r="G39" s="262" t="str">
        <f>IF(F39&gt;E39,"↑",IF(F39&lt;E39,"↓",IF(F39=E39,"↔"," ")))</f>
        <v>↔</v>
      </c>
      <c r="H39" s="263">
        <f>IF('WP2'!E55,'WP2'!E55,"  ")</f>
        <v>44136</v>
      </c>
      <c r="I39" s="264" t="s">
        <v>409</v>
      </c>
      <c r="J39" s="260"/>
      <c r="K39" s="260"/>
      <c r="L39" s="260"/>
      <c r="M39" s="265"/>
    </row>
    <row r="40" spans="1:13">
      <c r="A40" s="258" t="str">
        <f>_xlfn.CONCAT('WP2'!$E$2, ".",'WP2'!B56)</f>
        <v>2.2</v>
      </c>
      <c r="B40" s="259">
        <f>'WP2'!B56</f>
        <v>2</v>
      </c>
      <c r="C40" s="260">
        <f>'WP2'!$E$2</f>
        <v>2</v>
      </c>
      <c r="D40" s="260" t="str">
        <f>'WP2'!G56</f>
        <v>Report on delivery to ATLAS during year</v>
      </c>
      <c r="E40" s="261">
        <f>'WP2'!C56</f>
        <v>44531</v>
      </c>
      <c r="F40" s="261">
        <f>'WP2'!C56</f>
        <v>44531</v>
      </c>
      <c r="G40" s="262" t="str">
        <f t="shared" ref="G40:G48" si="3">IF(F40&gt;E40,"↑",IF(F40&lt;E40,"↓",IF(F40=E40,"↔"," ")))</f>
        <v>↔</v>
      </c>
      <c r="H40" s="263">
        <f>IF('WP2'!E56,'WP2'!E56,"  ")</f>
        <v>44501</v>
      </c>
      <c r="I40" s="264" t="s">
        <v>409</v>
      </c>
      <c r="J40" s="260"/>
      <c r="K40" s="260"/>
      <c r="L40" s="260"/>
      <c r="M40" s="265"/>
    </row>
    <row r="41" spans="1:13">
      <c r="A41" s="258" t="str">
        <f>_xlfn.CONCAT('WP2'!$E$2, ".",'WP2'!B57)</f>
        <v>2.3</v>
      </c>
      <c r="B41" s="259">
        <f>'WP2'!B57</f>
        <v>3</v>
      </c>
      <c r="C41" s="260">
        <f>'WP2'!$E$2</f>
        <v>2</v>
      </c>
      <c r="D41" s="260" t="str">
        <f>'WP2'!G57</f>
        <v>Report on delivery to ATLAS during year</v>
      </c>
      <c r="E41" s="261">
        <f>'WP2'!C57</f>
        <v>44896</v>
      </c>
      <c r="F41" s="261">
        <f>'WP2'!C57</f>
        <v>44896</v>
      </c>
      <c r="G41" s="262" t="str">
        <f t="shared" si="3"/>
        <v>↔</v>
      </c>
      <c r="H41" s="263" t="str">
        <f>IF('WP2'!E57,'WP2'!E57,"  ")</f>
        <v xml:space="preserve">  </v>
      </c>
      <c r="I41" s="264" t="s">
        <v>409</v>
      </c>
      <c r="J41" s="260"/>
      <c r="K41" s="260"/>
      <c r="L41" s="260"/>
      <c r="M41" s="265"/>
    </row>
    <row r="42" spans="1:13">
      <c r="A42" s="258" t="str">
        <f>_xlfn.CONCAT('WP2'!$E$2, ".",'WP2'!B58)</f>
        <v>2.4</v>
      </c>
      <c r="B42" s="259">
        <f>'WP2'!B58</f>
        <v>4</v>
      </c>
      <c r="C42" s="260">
        <f>'WP2'!$E$2</f>
        <v>2</v>
      </c>
      <c r="D42" s="260" t="str">
        <f>'WP2'!G58</f>
        <v>Report on delivery to ATLAS during year</v>
      </c>
      <c r="E42" s="261">
        <f>'WP2'!C58</f>
        <v>45261</v>
      </c>
      <c r="F42" s="261">
        <f>'WP2'!C58</f>
        <v>45261</v>
      </c>
      <c r="G42" s="262" t="str">
        <f t="shared" si="3"/>
        <v>↔</v>
      </c>
      <c r="H42" s="263" t="str">
        <f>IF('WP2'!E58,'WP2'!E58,"  ")</f>
        <v xml:space="preserve">  </v>
      </c>
      <c r="I42" s="264" t="s">
        <v>409</v>
      </c>
      <c r="J42" s="260"/>
      <c r="K42" s="260"/>
      <c r="L42" s="260"/>
      <c r="M42" s="265"/>
    </row>
    <row r="43" spans="1:13">
      <c r="A43" s="258" t="str">
        <f>_xlfn.CONCAT('WP2'!$E$2, ".",'WP2'!B59)</f>
        <v>2.5</v>
      </c>
      <c r="B43" s="259">
        <f>'WP2'!B59</f>
        <v>5</v>
      </c>
      <c r="C43" s="260">
        <f>'WP2'!$E$2</f>
        <v>2</v>
      </c>
      <c r="D43" s="260" t="str">
        <f>'WP2'!G59</f>
        <v>Report on delivery to CMS during year</v>
      </c>
      <c r="E43" s="261">
        <f>'WP2'!C59</f>
        <v>44166</v>
      </c>
      <c r="F43" s="261">
        <f>'WP2'!C59</f>
        <v>44166</v>
      </c>
      <c r="G43" s="262" t="str">
        <f t="shared" si="3"/>
        <v>↔</v>
      </c>
      <c r="H43" s="263">
        <f>IF('WP2'!E59,'WP2'!E59,"  ")</f>
        <v>44136</v>
      </c>
      <c r="I43" s="264" t="s">
        <v>409</v>
      </c>
      <c r="J43" s="260"/>
      <c r="K43" s="260"/>
      <c r="L43" s="260"/>
      <c r="M43" s="265"/>
    </row>
    <row r="44" spans="1:13">
      <c r="A44" s="258" t="str">
        <f>_xlfn.CONCAT('WP2'!$E$2, ".",'WP2'!B60)</f>
        <v>2.6</v>
      </c>
      <c r="B44" s="259">
        <f>'WP2'!B60</f>
        <v>6</v>
      </c>
      <c r="C44" s="260">
        <f>'WP2'!$E$2</f>
        <v>2</v>
      </c>
      <c r="D44" s="260" t="str">
        <f>'WP2'!G60</f>
        <v>Report on delivery to CMS during year</v>
      </c>
      <c r="E44" s="261">
        <f>'WP2'!C60</f>
        <v>44531</v>
      </c>
      <c r="F44" s="261">
        <f>'WP2'!C60</f>
        <v>44531</v>
      </c>
      <c r="G44" s="262" t="str">
        <f t="shared" si="3"/>
        <v>↔</v>
      </c>
      <c r="H44" s="263">
        <f>IF('WP2'!E60,'WP2'!E60,"  ")</f>
        <v>44136</v>
      </c>
      <c r="I44" s="264" t="s">
        <v>409</v>
      </c>
      <c r="J44" s="260"/>
      <c r="K44" s="260"/>
      <c r="L44" s="260"/>
      <c r="M44" s="265"/>
    </row>
    <row r="45" spans="1:13">
      <c r="A45" s="258" t="str">
        <f>_xlfn.CONCAT('WP2'!$E$2, ".",'WP2'!B61)</f>
        <v>2.7</v>
      </c>
      <c r="B45" s="259">
        <f>'WP2'!B61</f>
        <v>7</v>
      </c>
      <c r="C45" s="260">
        <f>'WP2'!$E$2</f>
        <v>2</v>
      </c>
      <c r="D45" s="260" t="str">
        <f>'WP2'!G61</f>
        <v>Report on delivery to CMS during year</v>
      </c>
      <c r="E45" s="261">
        <f>'WP2'!C61</f>
        <v>44896</v>
      </c>
      <c r="F45" s="261">
        <f>'WP2'!C61</f>
        <v>44896</v>
      </c>
      <c r="G45" s="262" t="str">
        <f t="shared" si="3"/>
        <v>↔</v>
      </c>
      <c r="H45" s="263" t="str">
        <f>IF('WP2'!E61,'WP2'!E61,"  ")</f>
        <v xml:space="preserve">  </v>
      </c>
      <c r="I45" s="264" t="s">
        <v>409</v>
      </c>
      <c r="J45" s="260"/>
      <c r="K45" s="260"/>
      <c r="L45" s="260"/>
      <c r="M45" s="265"/>
    </row>
    <row r="46" spans="1:13">
      <c r="A46" s="258" t="str">
        <f>_xlfn.CONCAT('WP2'!$E$2, ".",'WP2'!B62)</f>
        <v>2.8</v>
      </c>
      <c r="B46" s="259">
        <f>'WP2'!B62</f>
        <v>8</v>
      </c>
      <c r="C46" s="260">
        <f>'WP2'!$E$2</f>
        <v>2</v>
      </c>
      <c r="D46" s="260" t="str">
        <f>'WP2'!G62</f>
        <v>Report on delivery to CMS during year</v>
      </c>
      <c r="E46" s="261">
        <f>'WP2'!C62</f>
        <v>45261</v>
      </c>
      <c r="F46" s="261">
        <f>'WP2'!C62</f>
        <v>45261</v>
      </c>
      <c r="G46" s="262" t="str">
        <f t="shared" si="3"/>
        <v>↔</v>
      </c>
      <c r="H46" s="263" t="str">
        <f>IF('WP2'!E62,'WP2'!E62,"  ")</f>
        <v xml:space="preserve">  </v>
      </c>
      <c r="I46" s="264" t="s">
        <v>409</v>
      </c>
      <c r="J46" s="260"/>
      <c r="K46" s="260"/>
      <c r="L46" s="260"/>
      <c r="M46" s="265"/>
    </row>
    <row r="47" spans="1:13">
      <c r="A47" s="258" t="str">
        <f>_xlfn.CONCAT('WP2'!$E$2, ".",'WP2'!B63)</f>
        <v>2.9</v>
      </c>
      <c r="B47" s="259">
        <f>'WP2'!B63</f>
        <v>9</v>
      </c>
      <c r="C47" s="260">
        <f>'WP2'!$E$2</f>
        <v>2</v>
      </c>
      <c r="D47" s="260" t="str">
        <f>'WP2'!G63</f>
        <v>Report on delivery to LHCb during year</v>
      </c>
      <c r="E47" s="261">
        <f>'WP2'!C63</f>
        <v>44166</v>
      </c>
      <c r="F47" s="261">
        <f>'WP2'!C63</f>
        <v>44166</v>
      </c>
      <c r="G47" s="262" t="str">
        <f t="shared" si="3"/>
        <v>↔</v>
      </c>
      <c r="H47" s="263">
        <f>IF('WP2'!E63,'WP2'!E63,"  ")</f>
        <v>44136</v>
      </c>
      <c r="I47" s="264" t="s">
        <v>409</v>
      </c>
      <c r="J47" s="260"/>
      <c r="K47" s="260"/>
      <c r="L47" s="260"/>
      <c r="M47" s="265"/>
    </row>
    <row r="48" spans="1:13">
      <c r="A48" s="258" t="str">
        <f>_xlfn.CONCAT('WP2'!$E$2, ".",'WP2'!B64)</f>
        <v>2.10</v>
      </c>
      <c r="B48" s="259">
        <f>'WP2'!B64</f>
        <v>10</v>
      </c>
      <c r="C48" s="260">
        <f>'WP2'!$E$2</f>
        <v>2</v>
      </c>
      <c r="D48" s="260" t="str">
        <f>'WP2'!G64</f>
        <v>Report on delivery to LHCb during year</v>
      </c>
      <c r="E48" s="261">
        <f>'WP2'!C64</f>
        <v>44531</v>
      </c>
      <c r="F48" s="261">
        <f>'WP2'!C64</f>
        <v>44531</v>
      </c>
      <c r="G48" s="262" t="str">
        <f t="shared" si="3"/>
        <v>↔</v>
      </c>
      <c r="H48" s="263">
        <f>IF('WP2'!E64,'WP2'!E64,"  ")</f>
        <v>44136</v>
      </c>
      <c r="I48" s="264" t="s">
        <v>409</v>
      </c>
      <c r="J48" s="260"/>
      <c r="K48" s="260"/>
      <c r="L48" s="260"/>
      <c r="M48" s="265"/>
    </row>
    <row r="49" spans="1:13">
      <c r="A49" s="258" t="str">
        <f>_xlfn.CONCAT('WP2'!$E$2, ".",'WP2'!B65)</f>
        <v>2.11</v>
      </c>
      <c r="B49" s="259">
        <f>'WP2'!B65</f>
        <v>11</v>
      </c>
      <c r="C49" s="260">
        <f>'WP2'!$E$2</f>
        <v>2</v>
      </c>
      <c r="D49" s="260" t="str">
        <f>'WP2'!G65</f>
        <v>Report on delivery to LHCb during year</v>
      </c>
      <c r="E49" s="261">
        <f>'WP2'!C65</f>
        <v>44896</v>
      </c>
      <c r="F49" s="261">
        <f>'WP2'!C65</f>
        <v>44896</v>
      </c>
      <c r="G49" s="262" t="str">
        <f t="shared" ref="G49:G63" si="4">IF(F49&gt;E49,"↑",IF(F49&lt;E49,"↓",IF(F49=E49,"↔"," ")))</f>
        <v>↔</v>
      </c>
      <c r="H49" s="263" t="str">
        <f>IF('WP2'!E65,'WP2'!E65,"  ")</f>
        <v xml:space="preserve">  </v>
      </c>
      <c r="I49" s="264" t="s">
        <v>409</v>
      </c>
      <c r="J49" s="260"/>
      <c r="K49" s="260"/>
      <c r="L49" s="260"/>
      <c r="M49" s="265"/>
    </row>
    <row r="50" spans="1:13">
      <c r="A50" s="258" t="str">
        <f>_xlfn.CONCAT('WP2'!$E$2, ".",'WP2'!B66)</f>
        <v>2.12</v>
      </c>
      <c r="B50" s="259">
        <f>'WP2'!B66</f>
        <v>12</v>
      </c>
      <c r="C50" s="260">
        <f>'WP2'!$E$2</f>
        <v>2</v>
      </c>
      <c r="D50" s="260" t="str">
        <f>'WP2'!G66</f>
        <v>Report on delivery to LHCb during year</v>
      </c>
      <c r="E50" s="261">
        <f>'WP2'!C66</f>
        <v>45261</v>
      </c>
      <c r="F50" s="261">
        <f>'WP2'!C66</f>
        <v>45261</v>
      </c>
      <c r="G50" s="262" t="str">
        <f t="shared" si="4"/>
        <v>↔</v>
      </c>
      <c r="H50" s="263" t="str">
        <f>IF('WP2'!E66,'WP2'!E66,"  ")</f>
        <v xml:space="preserve">  </v>
      </c>
      <c r="I50" s="264" t="s">
        <v>409</v>
      </c>
      <c r="J50" s="260"/>
      <c r="K50" s="260"/>
      <c r="L50" s="260"/>
      <c r="M50" s="265"/>
    </row>
    <row r="51" spans="1:13">
      <c r="A51" s="258" t="str">
        <f>_xlfn.CONCAT('WP2'!$E$2, ".",'WP2'!B67)</f>
        <v>2.13</v>
      </c>
      <c r="B51" s="259">
        <f>'WP2'!B67</f>
        <v>13</v>
      </c>
      <c r="C51" s="260">
        <f>'WP2'!$E$2</f>
        <v>2</v>
      </c>
      <c r="D51" s="260" t="str">
        <f>'WP2'!G67</f>
        <v>Report on delivery to Other during year</v>
      </c>
      <c r="E51" s="261">
        <f>'WP2'!C67</f>
        <v>44166</v>
      </c>
      <c r="F51" s="261">
        <f>'WP2'!C67</f>
        <v>44166</v>
      </c>
      <c r="G51" s="262" t="str">
        <f t="shared" si="4"/>
        <v>↔</v>
      </c>
      <c r="H51" s="263">
        <f>IF('WP2'!E67,'WP2'!E67,"  ")</f>
        <v>44136</v>
      </c>
      <c r="I51" s="264" t="s">
        <v>409</v>
      </c>
      <c r="J51" s="260"/>
      <c r="K51" s="260"/>
      <c r="L51" s="260"/>
      <c r="M51" s="265"/>
    </row>
    <row r="52" spans="1:13">
      <c r="A52" s="258" t="str">
        <f>_xlfn.CONCAT('WP2'!$E$2, ".",'WP2'!B68)</f>
        <v>2.14</v>
      </c>
      <c r="B52" s="259">
        <f>'WP2'!B68</f>
        <v>14</v>
      </c>
      <c r="C52" s="260">
        <f>'WP2'!$E$2</f>
        <v>2</v>
      </c>
      <c r="D52" s="260" t="str">
        <f>'WP2'!G68</f>
        <v>Report on delivery to Other during year</v>
      </c>
      <c r="E52" s="261">
        <f>'WP2'!C68</f>
        <v>44531</v>
      </c>
      <c r="F52" s="261">
        <f>'WP2'!C68</f>
        <v>44531</v>
      </c>
      <c r="G52" s="262" t="str">
        <f t="shared" si="4"/>
        <v>↔</v>
      </c>
      <c r="H52" s="263">
        <f>IF('WP2'!E68,'WP2'!E68,"  ")</f>
        <v>44136</v>
      </c>
      <c r="I52" s="264" t="s">
        <v>409</v>
      </c>
      <c r="J52" s="260"/>
      <c r="K52" s="260"/>
      <c r="L52" s="260"/>
      <c r="M52" s="265"/>
    </row>
    <row r="53" spans="1:13">
      <c r="A53" s="258" t="str">
        <f>_xlfn.CONCAT('WP2'!$E$2, ".",'WP2'!B69)</f>
        <v>2.15</v>
      </c>
      <c r="B53" s="259">
        <f>'WP2'!B69</f>
        <v>15</v>
      </c>
      <c r="C53" s="260">
        <f>'WP2'!$E$2</f>
        <v>2</v>
      </c>
      <c r="D53" s="260" t="str">
        <f>'WP2'!G69</f>
        <v>Report on delivery to Other during year</v>
      </c>
      <c r="E53" s="261">
        <f>'WP2'!C69</f>
        <v>44896</v>
      </c>
      <c r="F53" s="261">
        <f>'WP2'!C69</f>
        <v>44896</v>
      </c>
      <c r="G53" s="262" t="str">
        <f t="shared" si="4"/>
        <v>↔</v>
      </c>
      <c r="H53" s="263" t="str">
        <f>IF('WP2'!E69,'WP2'!E69,"  ")</f>
        <v xml:space="preserve">  </v>
      </c>
      <c r="I53" s="264" t="s">
        <v>409</v>
      </c>
      <c r="J53" s="260"/>
      <c r="K53" s="260"/>
      <c r="L53" s="260"/>
      <c r="M53" s="265"/>
    </row>
    <row r="54" spans="1:13">
      <c r="A54" s="258" t="str">
        <f>_xlfn.CONCAT('WP2'!$E$2, ".",'WP2'!B70)</f>
        <v>2.16</v>
      </c>
      <c r="B54" s="259">
        <f>'WP2'!B70</f>
        <v>16</v>
      </c>
      <c r="C54" s="260">
        <f>'WP2'!$E$2</f>
        <v>2</v>
      </c>
      <c r="D54" s="260" t="str">
        <f>'WP2'!G70</f>
        <v>Report on delivery to Other during year</v>
      </c>
      <c r="E54" s="261">
        <f>'WP2'!C70</f>
        <v>45261</v>
      </c>
      <c r="F54" s="261">
        <f>'WP2'!C70</f>
        <v>45261</v>
      </c>
      <c r="G54" s="262" t="str">
        <f t="shared" si="4"/>
        <v>↔</v>
      </c>
      <c r="H54" s="263" t="str">
        <f>IF('WP2'!E70,'WP2'!E70,"  ")</f>
        <v xml:space="preserve">  </v>
      </c>
      <c r="I54" s="264" t="s">
        <v>409</v>
      </c>
      <c r="J54" s="260"/>
      <c r="K54" s="260"/>
      <c r="L54" s="260"/>
      <c r="M54" s="265"/>
    </row>
    <row r="55" spans="1:13">
      <c r="A55" s="258" t="str">
        <f>_xlfn.CONCAT('WP2'!$E$2, ".",'WP2'!B71)</f>
        <v>2.17</v>
      </c>
      <c r="B55" s="259">
        <f>'WP2'!B71</f>
        <v>17</v>
      </c>
      <c r="C55" s="260">
        <f>'WP2'!$E$2</f>
        <v>2</v>
      </c>
      <c r="D55" s="260" t="str">
        <f>'WP2'!G71</f>
        <v>Review of CMS AAA Efficiency</v>
      </c>
      <c r="E55" s="261">
        <f>'WP2'!C71</f>
        <v>44105</v>
      </c>
      <c r="F55" s="261">
        <f>'WP2'!C71</f>
        <v>44105</v>
      </c>
      <c r="G55" s="262" t="str">
        <f t="shared" si="4"/>
        <v>↔</v>
      </c>
      <c r="H55" s="263">
        <f>IF('WP2'!E71,'WP2'!E71,"  ")</f>
        <v>44105</v>
      </c>
      <c r="I55" s="264" t="s">
        <v>409</v>
      </c>
      <c r="J55" s="260"/>
      <c r="K55" s="260"/>
      <c r="L55" s="260"/>
      <c r="M55" s="265"/>
    </row>
    <row r="56" spans="1:13">
      <c r="A56" s="258" t="str">
        <f>_xlfn.CONCAT('WP2'!$E$2, ".",'WP2'!B72)</f>
        <v>2.18</v>
      </c>
      <c r="B56" s="259">
        <f>'WP2'!B72</f>
        <v>18</v>
      </c>
      <c r="C56" s="260">
        <f>'WP2'!$E$2</f>
        <v>2</v>
      </c>
      <c r="D56" s="260" t="str">
        <f>'WP2'!G72</f>
        <v>Review of CMS AAA Efficiency</v>
      </c>
      <c r="E56" s="261">
        <f>'WP2'!C72</f>
        <v>44287</v>
      </c>
      <c r="F56" s="261">
        <f>'WP2'!C72</f>
        <v>44287</v>
      </c>
      <c r="G56" s="262" t="str">
        <f t="shared" si="4"/>
        <v>↔</v>
      </c>
      <c r="H56" s="263" t="str">
        <f>IF('WP2'!E72,'WP2'!E72,"  ")</f>
        <v xml:space="preserve">  </v>
      </c>
      <c r="I56" s="264" t="s">
        <v>436</v>
      </c>
      <c r="J56" s="260"/>
      <c r="K56" s="260"/>
      <c r="L56" s="260"/>
      <c r="M56" s="265"/>
    </row>
    <row r="57" spans="1:13">
      <c r="A57" s="258" t="str">
        <f>_xlfn.CONCAT('WP2'!$E$2, ".",'WP2'!B73)</f>
        <v>2.19</v>
      </c>
      <c r="B57" s="259">
        <f>'WP2'!B73</f>
        <v>19</v>
      </c>
      <c r="C57" s="260">
        <f>'WP2'!$E$2</f>
        <v>2</v>
      </c>
      <c r="D57" s="260" t="str">
        <f>'WP2'!G73</f>
        <v>Review of CMS AAA Efficiency</v>
      </c>
      <c r="E57" s="261">
        <f>'WP2'!C73</f>
        <v>44470</v>
      </c>
      <c r="F57" s="261">
        <f>'WP2'!C73</f>
        <v>44470</v>
      </c>
      <c r="G57" s="262" t="str">
        <f t="shared" si="4"/>
        <v>↔</v>
      </c>
      <c r="H57" s="263" t="str">
        <f>IF('WP2'!E73,'WP2'!E73,"  ")</f>
        <v xml:space="preserve">  </v>
      </c>
      <c r="I57" s="264" t="s">
        <v>409</v>
      </c>
      <c r="J57" s="260"/>
      <c r="K57" s="260"/>
      <c r="L57" s="260"/>
      <c r="M57" s="265"/>
    </row>
    <row r="58" spans="1:13">
      <c r="A58" s="258" t="str">
        <f>_xlfn.CONCAT('WP2'!$E$2, ".",'WP2'!B74)</f>
        <v>2.20</v>
      </c>
      <c r="B58" s="259">
        <f>'WP2'!B74</f>
        <v>20</v>
      </c>
      <c r="C58" s="260">
        <f>'WP2'!$E$2</f>
        <v>2</v>
      </c>
      <c r="D58" s="260" t="str">
        <f>'WP2'!G74</f>
        <v>Review of CMS AAA Efficiency</v>
      </c>
      <c r="E58" s="261">
        <f>'WP2'!C74</f>
        <v>44652</v>
      </c>
      <c r="F58" s="261">
        <f>'WP2'!C74</f>
        <v>44652</v>
      </c>
      <c r="G58" s="262" t="str">
        <f t="shared" si="4"/>
        <v>↔</v>
      </c>
      <c r="H58" s="263" t="str">
        <f>IF('WP2'!E74,'WP2'!E74,"  ")</f>
        <v xml:space="preserve">  </v>
      </c>
      <c r="I58" s="264" t="s">
        <v>409</v>
      </c>
      <c r="J58" s="260"/>
      <c r="K58" s="260"/>
      <c r="L58" s="260"/>
      <c r="M58" s="265"/>
    </row>
    <row r="59" spans="1:13">
      <c r="A59" s="258" t="str">
        <f>_xlfn.CONCAT('WP2'!$E$2, ".",'WP2'!B75)</f>
        <v>2.21</v>
      </c>
      <c r="B59" s="259">
        <f>'WP2'!B75</f>
        <v>21</v>
      </c>
      <c r="C59" s="260">
        <f>'WP2'!$E$2</f>
        <v>2</v>
      </c>
      <c r="D59" s="260" t="str">
        <f>'WP2'!G75</f>
        <v>Review of CMS AAA Efficiency</v>
      </c>
      <c r="E59" s="261">
        <f>'WP2'!C75</f>
        <v>44835</v>
      </c>
      <c r="F59" s="261">
        <f>'WP2'!C75</f>
        <v>44835</v>
      </c>
      <c r="G59" s="262" t="str">
        <f t="shared" si="4"/>
        <v>↔</v>
      </c>
      <c r="H59" s="263" t="str">
        <f>IF('WP2'!E75,'WP2'!E75,"  ")</f>
        <v xml:space="preserve">  </v>
      </c>
      <c r="I59" s="264" t="s">
        <v>409</v>
      </c>
      <c r="J59" s="260"/>
      <c r="K59" s="260"/>
      <c r="L59" s="260"/>
      <c r="M59" s="265"/>
    </row>
    <row r="60" spans="1:13">
      <c r="A60" s="258" t="str">
        <f>_xlfn.CONCAT('WP2'!$E$2, ".",'WP2'!B76)</f>
        <v>2.22</v>
      </c>
      <c r="B60" s="259">
        <f>'WP2'!B76</f>
        <v>22</v>
      </c>
      <c r="C60" s="260">
        <f>'WP2'!$E$2</f>
        <v>2</v>
      </c>
      <c r="D60" s="260" t="str">
        <f>'WP2'!G76</f>
        <v>Review of CMS AAA Efficiency</v>
      </c>
      <c r="E60" s="261">
        <f>'WP2'!C76</f>
        <v>45017</v>
      </c>
      <c r="F60" s="261">
        <f>'WP2'!C76</f>
        <v>45017</v>
      </c>
      <c r="G60" s="262" t="str">
        <f t="shared" si="4"/>
        <v>↔</v>
      </c>
      <c r="H60" s="263" t="str">
        <f>IF('WP2'!E76,'WP2'!E76,"  ")</f>
        <v xml:space="preserve">  </v>
      </c>
      <c r="I60" s="264" t="s">
        <v>409</v>
      </c>
      <c r="J60" s="260"/>
      <c r="K60" s="260"/>
      <c r="L60" s="260"/>
      <c r="M60" s="265"/>
    </row>
    <row r="61" spans="1:13">
      <c r="A61" s="258" t="str">
        <f>_xlfn.CONCAT('WP2'!$E$2, ".",'WP2'!B77)</f>
        <v>2.23</v>
      </c>
      <c r="B61" s="259">
        <f>'WP2'!B77</f>
        <v>23</v>
      </c>
      <c r="C61" s="260">
        <f>'WP2'!$E$2</f>
        <v>2</v>
      </c>
      <c r="D61" s="260" t="str">
        <f>'WP2'!G77</f>
        <v>Review of CMS AAA Efficiency</v>
      </c>
      <c r="E61" s="261">
        <f>'WP2'!C77</f>
        <v>45200</v>
      </c>
      <c r="F61" s="261">
        <f>'WP2'!C77</f>
        <v>45200</v>
      </c>
      <c r="G61" s="262" t="str">
        <f t="shared" si="4"/>
        <v>↔</v>
      </c>
      <c r="H61" s="263" t="str">
        <f>IF('WP2'!E77,'WP2'!E77,"  ")</f>
        <v xml:space="preserve">  </v>
      </c>
      <c r="I61" s="264" t="s">
        <v>409</v>
      </c>
      <c r="J61" s="260"/>
      <c r="K61" s="260"/>
      <c r="L61" s="260"/>
      <c r="M61" s="265"/>
    </row>
    <row r="62" spans="1:13">
      <c r="A62" s="258" t="str">
        <f>_xlfn.CONCAT('WP2'!$E$2, ".",'WP2'!B78)</f>
        <v>2.24</v>
      </c>
      <c r="B62" s="259">
        <f>'WP2'!B78</f>
        <v>24</v>
      </c>
      <c r="C62" s="260">
        <f>'WP2'!$E$2</f>
        <v>2</v>
      </c>
      <c r="D62" s="260" t="str">
        <f>'WP2'!G78</f>
        <v>Review of CMS AAA Efficiency</v>
      </c>
      <c r="E62" s="261">
        <f>'WP2'!C78</f>
        <v>45383</v>
      </c>
      <c r="F62" s="261">
        <f>'WP2'!C78</f>
        <v>45383</v>
      </c>
      <c r="G62" s="262" t="str">
        <f t="shared" si="4"/>
        <v>↔</v>
      </c>
      <c r="H62" s="263" t="str">
        <f>IF('WP2'!E78,'WP2'!E78,"  ")</f>
        <v xml:space="preserve">  </v>
      </c>
      <c r="I62" s="264" t="s">
        <v>409</v>
      </c>
      <c r="J62" s="260"/>
      <c r="K62" s="260"/>
      <c r="L62" s="260"/>
      <c r="M62" s="265"/>
    </row>
    <row r="63" spans="1:13">
      <c r="A63" s="258" t="str">
        <f>_xlfn.CONCAT('WP3'!$E$2, ".",'WP3'!B23)</f>
        <v>3.1</v>
      </c>
      <c r="B63" s="259">
        <f>'WP3'!B23</f>
        <v>1</v>
      </c>
      <c r="C63" s="260">
        <f>'WP3'!$E$2</f>
        <v>3</v>
      </c>
      <c r="D63" s="260" t="str">
        <f>'WP3'!G23</f>
        <v>Review WLCG security policy and procedure set</v>
      </c>
      <c r="E63" s="261">
        <f>'WP3'!C23</f>
        <v>44287</v>
      </c>
      <c r="F63" s="261">
        <f>'WP3'!C23</f>
        <v>44287</v>
      </c>
      <c r="G63" s="262" t="str">
        <f t="shared" si="4"/>
        <v>↔</v>
      </c>
      <c r="H63" s="263">
        <f>IF('WP3'!E23,'WP3'!E23,"  ")</f>
        <v>44287</v>
      </c>
      <c r="I63" s="264" t="s">
        <v>409</v>
      </c>
      <c r="J63" s="260"/>
      <c r="K63" s="260"/>
      <c r="L63" s="260"/>
      <c r="M63" s="265"/>
    </row>
    <row r="64" spans="1:13">
      <c r="A64" s="258" t="str">
        <f>_xlfn.CONCAT('WP3'!$E$2, ".",'WP3'!B24)</f>
        <v>3.2</v>
      </c>
      <c r="B64" s="259">
        <f>'WP3'!B24</f>
        <v>2</v>
      </c>
      <c r="C64" s="260">
        <f>'WP3'!$E$2</f>
        <v>3</v>
      </c>
      <c r="D64" s="260" t="str">
        <f>'WP3'!G24</f>
        <v>Review of WLCG site security operations (SOC) guidelines</v>
      </c>
      <c r="E64" s="261">
        <f>'WP3'!C24</f>
        <v>44652</v>
      </c>
      <c r="F64" s="261">
        <f>'WP3'!C24</f>
        <v>44652</v>
      </c>
      <c r="G64" s="262" t="str">
        <f t="shared" ref="G64:G69" si="5">IF(F64&gt;E64,"↑",IF(F64&lt;E64,"↓",IF(F64=E64,"↔"," ")))</f>
        <v>↔</v>
      </c>
      <c r="H64" s="263">
        <f>IF('WP3'!E24,'WP3'!E24,"  ")</f>
        <v>44652</v>
      </c>
      <c r="I64" s="264" t="s">
        <v>409</v>
      </c>
      <c r="J64" s="260"/>
      <c r="K64" s="260"/>
      <c r="L64" s="260"/>
      <c r="M64" s="265"/>
    </row>
    <row r="65" spans="1:13">
      <c r="A65" s="258" t="str">
        <f>_xlfn.CONCAT('WP3'!$E$2, ".",'WP3'!B25)</f>
        <v>3.3</v>
      </c>
      <c r="B65" s="259">
        <f>'WP3'!B25</f>
        <v>3</v>
      </c>
      <c r="C65" s="260">
        <f>'WP3'!$E$2</f>
        <v>3</v>
      </c>
      <c r="D65" s="260" t="str">
        <f>'WP3'!G25</f>
        <v>Review WLCG security policy and procedure set</v>
      </c>
      <c r="E65" s="261">
        <f>'WP3'!C25</f>
        <v>45017</v>
      </c>
      <c r="F65" s="261">
        <f>'WP3'!C25</f>
        <v>45017</v>
      </c>
      <c r="G65" s="262" t="str">
        <f t="shared" si="5"/>
        <v>↔</v>
      </c>
      <c r="H65" s="263" t="str">
        <f>IF('WP3'!E25,'WP3'!E25,"  ")</f>
        <v xml:space="preserve">  </v>
      </c>
      <c r="I65" s="264" t="s">
        <v>409</v>
      </c>
      <c r="J65" s="260"/>
      <c r="K65" s="260"/>
      <c r="L65" s="260"/>
      <c r="M65" s="265"/>
    </row>
    <row r="66" spans="1:13">
      <c r="A66" s="258" t="str">
        <f>_xlfn.CONCAT('WP3'!$E$2, ".",'WP3'!B26)</f>
        <v>3.4</v>
      </c>
      <c r="B66" s="259">
        <f>'WP3'!B26</f>
        <v>4</v>
      </c>
      <c r="C66" s="260">
        <f>'WP3'!$E$2</f>
        <v>3</v>
      </c>
      <c r="D66" s="260" t="str">
        <f>'WP3'!G26</f>
        <v>Review of WLCG site security operations (SOC) guidelines</v>
      </c>
      <c r="E66" s="261">
        <f>'WP3'!C26</f>
        <v>45383</v>
      </c>
      <c r="F66" s="261">
        <f>'WP3'!C26</f>
        <v>45383</v>
      </c>
      <c r="G66" s="262" t="str">
        <f t="shared" si="5"/>
        <v>↔</v>
      </c>
      <c r="H66" s="263" t="str">
        <f>IF('WP3'!E26,'WP3'!E26,"  ")</f>
        <v xml:space="preserve">  </v>
      </c>
      <c r="I66" s="264" t="s">
        <v>409</v>
      </c>
      <c r="J66" s="260"/>
      <c r="K66" s="260"/>
      <c r="L66" s="260"/>
      <c r="M66" s="265"/>
    </row>
    <row r="67" spans="1:13">
      <c r="A67" s="258" t="str">
        <f>_xlfn.CONCAT('WP3'!$E$2, ".",'WP3'!B27)</f>
        <v>3.5</v>
      </c>
      <c r="B67" s="259">
        <f>'WP3'!B27</f>
        <v>5</v>
      </c>
      <c r="C67" s="260">
        <f>'WP3'!$E$2</f>
        <v>3</v>
      </c>
      <c r="D67" s="260" t="str">
        <f>'WP3'!G27</f>
        <v>Participation in EGI CSIRT Service Security Challenge</v>
      </c>
      <c r="E67" s="261">
        <f>'WP3'!C27</f>
        <v>44652</v>
      </c>
      <c r="F67" s="261">
        <f>'WP3'!C27</f>
        <v>44652</v>
      </c>
      <c r="G67" s="262" t="str">
        <f t="shared" si="5"/>
        <v>↔</v>
      </c>
      <c r="H67" s="263" t="str">
        <f>IF('WP3'!E27,'WP3'!E27,"  ")</f>
        <v xml:space="preserve">  </v>
      </c>
      <c r="I67" s="264" t="s">
        <v>409</v>
      </c>
      <c r="J67" s="260"/>
      <c r="K67" s="260"/>
      <c r="L67" s="260"/>
      <c r="M67" s="265"/>
    </row>
    <row r="68" spans="1:13">
      <c r="A68" s="258" t="str">
        <f>_xlfn.CONCAT('WP3'!$E$2, ".",'WP3'!B28)</f>
        <v>3.6</v>
      </c>
      <c r="B68" s="259">
        <f>'WP3'!B28</f>
        <v>6</v>
      </c>
      <c r="C68" s="260">
        <f>'WP3'!$E$2</f>
        <v>3</v>
      </c>
      <c r="D68" s="260" t="str">
        <f>'WP3'!G28</f>
        <v>Participation in EGI CSIRT Service Security Challenge</v>
      </c>
      <c r="E68" s="261">
        <f>'WP3'!C28</f>
        <v>45383</v>
      </c>
      <c r="F68" s="261">
        <f>'WP3'!C28</f>
        <v>45383</v>
      </c>
      <c r="G68" s="262" t="str">
        <f t="shared" si="5"/>
        <v>↔</v>
      </c>
      <c r="H68" s="263" t="str">
        <f>IF('WP3'!E28,'WP3'!E28,"  ")</f>
        <v xml:space="preserve">  </v>
      </c>
      <c r="I68" s="264" t="s">
        <v>409</v>
      </c>
      <c r="J68" s="260"/>
      <c r="K68" s="260"/>
      <c r="L68" s="260"/>
      <c r="M68" s="265"/>
    </row>
    <row r="69" spans="1:13">
      <c r="A69" s="258" t="str">
        <f>_xlfn.CONCAT('WP4'!$E$2, ".",'WP4'!B16)</f>
        <v>4.1</v>
      </c>
      <c r="B69" s="259">
        <f>'WP4'!B16</f>
        <v>1</v>
      </c>
      <c r="C69" s="260">
        <f>'WP4'!$E$2</f>
        <v>4</v>
      </c>
      <c r="D69" s="260" t="str">
        <f>'WP4'!G16</f>
        <v>Procure New Tape Robot</v>
      </c>
      <c r="E69" s="261">
        <f>'WP4'!C16</f>
        <v>44166</v>
      </c>
      <c r="F69" s="261">
        <f>'WP4'!C16</f>
        <v>44166</v>
      </c>
      <c r="G69" s="262" t="str">
        <f t="shared" si="5"/>
        <v>↔</v>
      </c>
      <c r="H69" s="263">
        <f>IF('WP4'!E16,'WP4'!E16,"  ")</f>
        <v>43922</v>
      </c>
      <c r="I69" s="264" t="s">
        <v>410</v>
      </c>
      <c r="J69" s="260"/>
      <c r="K69" s="260"/>
      <c r="L69" s="260"/>
      <c r="M69" s="265"/>
    </row>
    <row r="70" spans="1:13">
      <c r="A70" s="258" t="str">
        <f>_xlfn.CONCAT('WP4'!$E$2, ".",'WP4'!B17)</f>
        <v>4.2</v>
      </c>
      <c r="B70" s="259">
        <f>'WP4'!B17</f>
        <v>2</v>
      </c>
      <c r="C70" s="260">
        <f>'WP4'!$E$2</f>
        <v>4</v>
      </c>
      <c r="D70" s="260" t="str">
        <f>'WP4'!G17</f>
        <v>New Tape management System</v>
      </c>
      <c r="E70" s="261">
        <f>'WP4'!C17</f>
        <v>44621</v>
      </c>
      <c r="F70" s="261">
        <f>'WP4'!C17</f>
        <v>44621</v>
      </c>
      <c r="G70" s="262" t="str">
        <f t="shared" ref="G70:G84" si="6">IF(F70&gt;E70,"↑",IF(F70&lt;E70,"↓",IF(F70=E70,"↔"," ")))</f>
        <v>↔</v>
      </c>
      <c r="H70" s="263">
        <f>IF('WP4'!E17,'WP4'!E17,"  ")</f>
        <v>44531</v>
      </c>
      <c r="I70" s="264" t="s">
        <v>409</v>
      </c>
      <c r="J70" s="260"/>
      <c r="K70" s="260"/>
      <c r="L70" s="260"/>
      <c r="M70" s="265"/>
    </row>
    <row r="71" spans="1:13">
      <c r="A71" s="258" t="str">
        <f>_xlfn.CONCAT('WP4'!$E$2, ".",'WP4'!B18)</f>
        <v>4.3</v>
      </c>
      <c r="B71" s="259">
        <f>'WP4'!B18</f>
        <v>3</v>
      </c>
      <c r="C71" s="260">
        <f>'WP4'!$E$2</f>
        <v>4</v>
      </c>
      <c r="D71" s="260" t="str">
        <f>'WP4'!G18</f>
        <v>Migrate to LTO-9 Tape media</v>
      </c>
      <c r="E71" s="261">
        <f>'WP4'!C18</f>
        <v>44713</v>
      </c>
      <c r="F71" s="261">
        <f>'WP4'!C18</f>
        <v>44713</v>
      </c>
      <c r="G71" s="262" t="str">
        <f t="shared" si="6"/>
        <v>↔</v>
      </c>
      <c r="H71" s="263" t="str">
        <f>IF('WP4'!E18,'WP4'!E18,"  ")</f>
        <v xml:space="preserve">  </v>
      </c>
      <c r="I71" s="264" t="s">
        <v>409</v>
      </c>
      <c r="J71" s="260"/>
      <c r="K71" s="260"/>
      <c r="L71" s="260"/>
      <c r="M71" s="265"/>
    </row>
    <row r="72" spans="1:13">
      <c r="A72" s="258" t="str">
        <f>_xlfn.CONCAT('WP4'!$E$2, ".",'WP4'!B19)</f>
        <v>4.4</v>
      </c>
      <c r="B72" s="259">
        <f>'WP4'!B19</f>
        <v>4</v>
      </c>
      <c r="C72" s="260">
        <f>'WP4'!$E$2</f>
        <v>4</v>
      </c>
      <c r="D72" s="260" t="str">
        <f>'WP4'!G19</f>
        <v>Decomission old Tape system</v>
      </c>
      <c r="E72" s="261">
        <f>'WP4'!C19</f>
        <v>44986</v>
      </c>
      <c r="F72" s="261">
        <f>'WP4'!C19</f>
        <v>44986</v>
      </c>
      <c r="G72" s="262" t="str">
        <f t="shared" si="6"/>
        <v>↔</v>
      </c>
      <c r="H72" s="263" t="str">
        <f>IF('WP4'!E19,'WP4'!E19,"  ")</f>
        <v xml:space="preserve">  </v>
      </c>
      <c r="I72" s="264" t="s">
        <v>409</v>
      </c>
      <c r="J72" s="260"/>
      <c r="K72" s="260"/>
      <c r="L72" s="260"/>
      <c r="M72" s="265"/>
    </row>
    <row r="73" spans="1:13">
      <c r="A73" s="258" t="str">
        <f>_xlfn.CONCAT('WP4'!$E$2, ".",'WP4'!B20)</f>
        <v>4.5</v>
      </c>
      <c r="B73" s="259">
        <f>'WP4'!B20</f>
        <v>5</v>
      </c>
      <c r="C73" s="260">
        <f>'WP4'!$E$2</f>
        <v>4</v>
      </c>
      <c r="D73" s="260" t="str">
        <f>'WP4'!G20</f>
        <v>Tier-1 LHCONE integration</v>
      </c>
      <c r="E73" s="261">
        <f>'WP4'!C20</f>
        <v>44531</v>
      </c>
      <c r="F73" s="261">
        <f>'WP4'!C20</f>
        <v>44531</v>
      </c>
      <c r="G73" s="262" t="str">
        <f t="shared" si="6"/>
        <v>↔</v>
      </c>
      <c r="H73" s="263" t="str">
        <f>IF('WP4'!E20,'WP4'!E20,"  ")</f>
        <v xml:space="preserve">  </v>
      </c>
      <c r="I73" s="264" t="s">
        <v>409</v>
      </c>
      <c r="J73" s="260"/>
      <c r="K73" s="260"/>
      <c r="L73" s="260"/>
      <c r="M73" s="265"/>
    </row>
    <row r="74" spans="1:13">
      <c r="A74" s="258" t="str">
        <f>_xlfn.CONCAT('WP4'!$E$2, ".",'WP4'!B21)</f>
        <v>4.6</v>
      </c>
      <c r="B74" s="259">
        <f>'WP4'!B21</f>
        <v>6</v>
      </c>
      <c r="C74" s="260">
        <f>'WP4'!$E$2</f>
        <v>4</v>
      </c>
      <c r="D74" s="260" t="str">
        <f>'WP4'!G21</f>
        <v>Tier-1 Network Upgarde: Install HW</v>
      </c>
      <c r="E74" s="261">
        <f>'WP4'!C21</f>
        <v>44287</v>
      </c>
      <c r="F74" s="261">
        <f>'WP4'!C21</f>
        <v>44287</v>
      </c>
      <c r="G74" s="262" t="str">
        <f t="shared" si="6"/>
        <v>↔</v>
      </c>
      <c r="H74" s="263">
        <f>IF('WP4'!E21,'WP4'!E21,"  ")</f>
        <v>44197</v>
      </c>
      <c r="I74" s="264" t="s">
        <v>409</v>
      </c>
      <c r="J74" s="260"/>
      <c r="K74" s="260"/>
      <c r="L74" s="260"/>
      <c r="M74" s="265"/>
    </row>
    <row r="75" spans="1:13">
      <c r="A75" s="258" t="str">
        <f>_xlfn.CONCAT('WP4'!$E$2, ".",'WP4'!B22)</f>
        <v>4.7</v>
      </c>
      <c r="B75" s="259">
        <f>'WP4'!B22</f>
        <v>7</v>
      </c>
      <c r="C75" s="260">
        <f>'WP4'!$E$2</f>
        <v>4</v>
      </c>
      <c r="D75" s="260" t="str">
        <f>'WP4'!G22</f>
        <v>Tier-1 Network Upgarde: 100Gb/s LHCOPN link</v>
      </c>
      <c r="E75" s="261">
        <f>'WP4'!C22</f>
        <v>44105</v>
      </c>
      <c r="F75" s="261">
        <f>'WP4'!C22</f>
        <v>44105</v>
      </c>
      <c r="G75" s="262" t="str">
        <f t="shared" si="6"/>
        <v>↔</v>
      </c>
      <c r="H75" s="263">
        <f>IF('WP4'!E22,'WP4'!E22,"  ")</f>
        <v>44197</v>
      </c>
      <c r="I75" s="264" t="s">
        <v>410</v>
      </c>
      <c r="J75" s="260"/>
      <c r="K75" s="260"/>
      <c r="L75" s="260"/>
      <c r="M75" s="265"/>
    </row>
    <row r="76" spans="1:13">
      <c r="A76" s="258" t="str">
        <f>_xlfn.CONCAT('WP4'!$E$2, ".",'WP4'!B23)</f>
        <v>4.8</v>
      </c>
      <c r="B76" s="259">
        <f>'WP4'!B23</f>
        <v>8</v>
      </c>
      <c r="C76" s="260">
        <f>'WP4'!$E$2</f>
        <v>4</v>
      </c>
      <c r="D76" s="260" t="str">
        <f>'WP4'!G23</f>
        <v xml:space="preserve">Tier-1 Network Upgrade: Join LHCONE </v>
      </c>
      <c r="E76" s="261">
        <f>'WP4'!C23</f>
        <v>44348</v>
      </c>
      <c r="F76" s="261">
        <f>'WP4'!C23</f>
        <v>44348</v>
      </c>
      <c r="G76" s="262" t="str">
        <f t="shared" si="6"/>
        <v>↔</v>
      </c>
      <c r="H76" s="263">
        <f>IF('WP4'!E23,'WP4'!E23,"  ")</f>
        <v>44531</v>
      </c>
      <c r="I76" s="264" t="s">
        <v>409</v>
      </c>
      <c r="J76" s="260"/>
      <c r="K76" s="260"/>
      <c r="L76" s="260"/>
      <c r="M76" s="265"/>
    </row>
    <row r="77" spans="1:13">
      <c r="A77" s="258" t="str">
        <f>_xlfn.CONCAT('WP4'!$E$2, ".",'WP4'!B24)</f>
        <v>4.9</v>
      </c>
      <c r="B77" s="259">
        <f>'WP4'!B24</f>
        <v>9</v>
      </c>
      <c r="C77" s="260">
        <f>'WP4'!$E$2</f>
        <v>4</v>
      </c>
      <c r="D77" s="260" t="str">
        <f>'WP4'!G24</f>
        <v>Tier-1 Network Upgarde: Migrate Services</v>
      </c>
      <c r="E77" s="261">
        <f>'WP4'!C24</f>
        <v>44470</v>
      </c>
      <c r="F77" s="261">
        <f>'WP4'!C24</f>
        <v>44470</v>
      </c>
      <c r="G77" s="262" t="str">
        <f t="shared" si="6"/>
        <v>↔</v>
      </c>
      <c r="H77" s="263" t="str">
        <f>IF('WP4'!E24,'WP4'!E24,"  ")</f>
        <v xml:space="preserve">  </v>
      </c>
      <c r="I77" s="264" t="s">
        <v>409</v>
      </c>
      <c r="J77" s="260"/>
      <c r="K77" s="260"/>
      <c r="L77" s="260"/>
      <c r="M77" s="265"/>
    </row>
    <row r="78" spans="1:13">
      <c r="A78" s="258" t="str">
        <f>_xlfn.CONCAT('WP4'!$E$2, ".",'WP4'!B25)</f>
        <v>4.10</v>
      </c>
      <c r="B78" s="259">
        <f>'WP4'!B25</f>
        <v>10</v>
      </c>
      <c r="C78" s="260">
        <f>'WP4'!$E$2</f>
        <v>4</v>
      </c>
      <c r="D78" s="260" t="str">
        <f>'WP4'!G25</f>
        <v>Core Object Store capability</v>
      </c>
      <c r="E78" s="261">
        <f>'WP4'!C25</f>
        <v>44256</v>
      </c>
      <c r="F78" s="261">
        <f>'WP4'!C25</f>
        <v>44256</v>
      </c>
      <c r="G78" s="262" t="str">
        <f t="shared" si="6"/>
        <v>↔</v>
      </c>
      <c r="H78" s="263">
        <f>IF('WP4'!E25,'WP4'!E25,"  ")</f>
        <v>43983</v>
      </c>
      <c r="I78" s="264" t="s">
        <v>409</v>
      </c>
      <c r="J78" s="260"/>
      <c r="K78" s="260"/>
      <c r="L78" s="260"/>
      <c r="M78" s="265"/>
    </row>
    <row r="79" spans="1:13">
      <c r="A79" s="258" t="str">
        <f>_xlfn.CONCAT('WP4'!$E$2, ".",'WP4'!B26)</f>
        <v>4.11</v>
      </c>
      <c r="B79" s="259">
        <f>'WP4'!B26</f>
        <v>11</v>
      </c>
      <c r="C79" s="260">
        <f>'WP4'!$E$2</f>
        <v>4</v>
      </c>
      <c r="D79" s="260" t="str">
        <f>'WP4'!G26</f>
        <v>Rucio: FTS - S3</v>
      </c>
      <c r="E79" s="261">
        <f>'WP4'!C26</f>
        <v>44531</v>
      </c>
      <c r="F79" s="261">
        <f>'WP4'!C26</f>
        <v>44531</v>
      </c>
      <c r="G79" s="262" t="str">
        <f t="shared" si="6"/>
        <v>↔</v>
      </c>
      <c r="H79" s="263" t="str">
        <f>IF('WP4'!E26,'WP4'!E26,"  ")</f>
        <v xml:space="preserve">  </v>
      </c>
      <c r="I79" s="264" t="s">
        <v>409</v>
      </c>
      <c r="J79" s="260"/>
      <c r="K79" s="260"/>
      <c r="L79" s="260"/>
      <c r="M79" s="265"/>
    </row>
    <row r="80" spans="1:13">
      <c r="A80" s="258" t="str">
        <f>_xlfn.CONCAT('WP4'!$E$2, ".",'WP4'!B27)</f>
        <v>4.12</v>
      </c>
      <c r="B80" s="259">
        <f>'WP4'!B27</f>
        <v>12</v>
      </c>
      <c r="C80" s="260">
        <f>'WP4'!$E$2</f>
        <v>4</v>
      </c>
      <c r="D80" s="260" t="str">
        <f>'WP4'!G27</f>
        <v>Cacheing for diskless T2s deployed</v>
      </c>
      <c r="E80" s="261">
        <f>'WP4'!C27</f>
        <v>44348</v>
      </c>
      <c r="F80" s="261">
        <f>'WP4'!C27</f>
        <v>44348</v>
      </c>
      <c r="G80" s="262" t="str">
        <f t="shared" si="6"/>
        <v>↔</v>
      </c>
      <c r="H80" s="263">
        <f>IF('WP4'!E27,'WP4'!E27,"  ")</f>
        <v>44287</v>
      </c>
      <c r="I80" s="264" t="s">
        <v>409</v>
      </c>
      <c r="J80" s="260"/>
      <c r="K80" s="260"/>
      <c r="L80" s="260"/>
      <c r="M80" s="265"/>
    </row>
    <row r="81" spans="1:13">
      <c r="A81" s="258" t="str">
        <f>_xlfn.CONCAT('WP4'!$E$2, ".",'WP4'!B28)</f>
        <v>4.13</v>
      </c>
      <c r="B81" s="259">
        <f>'WP4'!B28</f>
        <v>13</v>
      </c>
      <c r="C81" s="260">
        <f>'WP4'!$E$2</f>
        <v>4</v>
      </c>
      <c r="D81" s="260" t="str">
        <f>'WP4'!G28</f>
        <v>WLCG "datalake" like federation</v>
      </c>
      <c r="E81" s="261">
        <f>'WP4'!C28</f>
        <v>44713</v>
      </c>
      <c r="F81" s="261">
        <f>'WP4'!C28</f>
        <v>44713</v>
      </c>
      <c r="G81" s="262" t="str">
        <f t="shared" si="6"/>
        <v>↔</v>
      </c>
      <c r="H81" s="263" t="str">
        <f>IF('WP4'!E28,'WP4'!E28,"  ")</f>
        <v xml:space="preserve">  </v>
      </c>
      <c r="I81" s="264" t="s">
        <v>409</v>
      </c>
      <c r="J81" s="260"/>
      <c r="K81" s="260"/>
      <c r="L81" s="260"/>
      <c r="M81" s="265"/>
    </row>
    <row r="82" spans="1:13">
      <c r="A82" s="258" t="str">
        <f>_xlfn.CONCAT('WP4'!$E$2, ".",'WP4'!B29)</f>
        <v>4.14</v>
      </c>
      <c r="B82" s="259">
        <f>'WP4'!B29</f>
        <v>14</v>
      </c>
      <c r="C82" s="260">
        <f>'WP4'!$E$2</f>
        <v>4</v>
      </c>
      <c r="D82" s="260" t="str">
        <f>'WP4'!G29</f>
        <v>Participate in DOMA</v>
      </c>
      <c r="E82" s="261">
        <f>'WP4'!C29</f>
        <v>45352</v>
      </c>
      <c r="F82" s="261">
        <f>'WP4'!C29</f>
        <v>45352</v>
      </c>
      <c r="G82" s="262" t="str">
        <f t="shared" si="6"/>
        <v>↔</v>
      </c>
      <c r="H82" s="263" t="str">
        <f>IF('WP4'!E29,'WP4'!E29,"  ")</f>
        <v xml:space="preserve">  </v>
      </c>
      <c r="I82" s="264" t="s">
        <v>409</v>
      </c>
      <c r="J82" s="260"/>
      <c r="K82" s="260"/>
      <c r="L82" s="260"/>
      <c r="M82" s="265"/>
    </row>
    <row r="83" spans="1:13">
      <c r="A83" s="258" t="str">
        <f>_xlfn.CONCAT('WP4'!$E$2, ".",'WP4'!B30)</f>
        <v>4.15</v>
      </c>
      <c r="B83" s="259">
        <f>'WP4'!B30</f>
        <v>15</v>
      </c>
      <c r="C83" s="260">
        <f>'WP4'!$E$2</f>
        <v>4</v>
      </c>
      <c r="D83" s="260" t="str">
        <f>'WP4'!G30</f>
        <v>Deployment of storage accounting</v>
      </c>
      <c r="E83" s="261">
        <f>'WP4'!C30</f>
        <v>44256</v>
      </c>
      <c r="F83" s="261">
        <f>'WP4'!C30</f>
        <v>44256</v>
      </c>
      <c r="G83" s="262" t="str">
        <f t="shared" si="6"/>
        <v>↔</v>
      </c>
      <c r="H83" s="263"/>
      <c r="I83" s="264" t="s">
        <v>409</v>
      </c>
      <c r="J83" s="260"/>
      <c r="K83" s="260"/>
      <c r="L83" s="260"/>
      <c r="M83" s="265"/>
    </row>
    <row r="84" spans="1:13">
      <c r="A84" s="258" t="str">
        <f>_xlfn.CONCAT('WP5'!$E$2, ".",'WP5'!B19)</f>
        <v>5.1</v>
      </c>
      <c r="B84" s="259">
        <f>'WP5'!B19</f>
        <v>1</v>
      </c>
      <c r="C84" s="260">
        <f>'WP5'!$E$2</f>
        <v>5</v>
      </c>
      <c r="D84" s="260" t="str">
        <f>'WP5'!G19</f>
        <v>Financial plan for GridPP6 established</v>
      </c>
      <c r="E84" s="261">
        <f>'WP5'!C19</f>
        <v>43922</v>
      </c>
      <c r="F84" s="261">
        <f>'WP5'!C19</f>
        <v>43922</v>
      </c>
      <c r="G84" s="262" t="str">
        <f t="shared" si="6"/>
        <v>↔</v>
      </c>
      <c r="H84" s="263">
        <f>IF('WP5'!E19,'WP5'!E19,"  ")</f>
        <v>43922</v>
      </c>
      <c r="I84" s="264" t="s">
        <v>410</v>
      </c>
      <c r="J84" s="260"/>
      <c r="K84" s="260"/>
      <c r="L84" s="260"/>
      <c r="M84" s="265"/>
    </row>
    <row r="85" spans="1:13">
      <c r="A85" s="258" t="str">
        <f>_xlfn.CONCAT('WP5'!$E$2, ".",'WP5'!B20)</f>
        <v>5.2</v>
      </c>
      <c r="B85" s="259">
        <f>'WP5'!B20</f>
        <v>2</v>
      </c>
      <c r="C85" s="260">
        <f>'WP5'!$E$2</f>
        <v>5</v>
      </c>
      <c r="D85" s="260" t="str">
        <f>'WP5'!G20</f>
        <v xml:space="preserve">Draft ProjectMap for GridPP6. </v>
      </c>
      <c r="E85" s="261">
        <f>'WP5'!C20</f>
        <v>43984</v>
      </c>
      <c r="F85" s="261">
        <f>'WP5'!C20</f>
        <v>43984</v>
      </c>
      <c r="G85" s="262" t="str">
        <f t="shared" ref="G85:G99" si="7">IF(F85&gt;E85,"↑",IF(F85&lt;E85,"↓",IF(F85=E85,"↔"," ")))</f>
        <v>↔</v>
      </c>
      <c r="H85" s="263">
        <f>IF('WP5'!E20,'WP5'!E20,"  ")</f>
        <v>43952</v>
      </c>
      <c r="I85" s="264" t="s">
        <v>410</v>
      </c>
      <c r="J85" s="260"/>
      <c r="K85" s="260"/>
      <c r="L85" s="260"/>
      <c r="M85" s="265"/>
    </row>
    <row r="86" spans="1:13">
      <c r="A86" s="258" t="str">
        <f>_xlfn.CONCAT('WP5'!$E$2, ".",'WP5'!B21)</f>
        <v>5.3</v>
      </c>
      <c r="B86" s="259">
        <f>'WP5'!B21</f>
        <v>3</v>
      </c>
      <c r="C86" s="260">
        <f>'WP5'!$E$2</f>
        <v>5</v>
      </c>
      <c r="D86" s="260" t="str">
        <f>'WP5'!G21</f>
        <v>Final project map for GridPP6.</v>
      </c>
      <c r="E86" s="261">
        <f>'WP5'!C21</f>
        <v>44045</v>
      </c>
      <c r="F86" s="261">
        <f>'WP5'!C21</f>
        <v>44045</v>
      </c>
      <c r="G86" s="262" t="str">
        <f t="shared" si="7"/>
        <v>↔</v>
      </c>
      <c r="H86" s="263">
        <f>IF('WP5'!E21,'WP5'!E21,"  ")</f>
        <v>44044</v>
      </c>
      <c r="I86" s="264" t="s">
        <v>409</v>
      </c>
      <c r="J86" s="260"/>
      <c r="K86" s="260"/>
      <c r="L86" s="260"/>
      <c r="M86" s="265"/>
    </row>
    <row r="87" spans="1:13">
      <c r="A87" s="258" t="str">
        <f>_xlfn.CONCAT('WP5'!$E$2, ".",'WP5'!B22)</f>
        <v>5.4</v>
      </c>
      <c r="B87" s="259">
        <f>'WP5'!B22</f>
        <v>4</v>
      </c>
      <c r="C87" s="260">
        <f>'WP5'!$E$2</f>
        <v>5</v>
      </c>
      <c r="D87" s="260" t="str">
        <f>'WP5'!G22</f>
        <v>Quarterly reporting system agreed for other areas</v>
      </c>
      <c r="E87" s="261">
        <f>'WP5'!C22</f>
        <v>44044</v>
      </c>
      <c r="F87" s="261">
        <f>'WP5'!C22</f>
        <v>44044</v>
      </c>
      <c r="G87" s="262" t="str">
        <f t="shared" si="7"/>
        <v>↔</v>
      </c>
      <c r="H87" s="263">
        <f>IF('WP5'!E22,'WP5'!E22,"  ")</f>
        <v>44044</v>
      </c>
      <c r="I87" s="264" t="s">
        <v>409</v>
      </c>
      <c r="J87" s="260"/>
      <c r="K87" s="260"/>
      <c r="L87" s="260"/>
      <c r="M87" s="265"/>
    </row>
    <row r="88" spans="1:13">
      <c r="A88" s="258" t="str">
        <f>_xlfn.CONCAT('WP5'!$E$2, ".",'WP5'!B23)</f>
        <v>5.5</v>
      </c>
      <c r="B88" s="259">
        <f>'WP5'!B23</f>
        <v>5</v>
      </c>
      <c r="C88" s="260">
        <f>'WP5'!$E$2</f>
        <v>5</v>
      </c>
      <c r="D88" s="260" t="str">
        <f>'WP5'!G23</f>
        <v>T2 staff grants issued for GridPP6</v>
      </c>
      <c r="E88" s="261">
        <f>'WP5'!C23</f>
        <v>43922</v>
      </c>
      <c r="F88" s="261">
        <f>'WP5'!C23</f>
        <v>43922</v>
      </c>
      <c r="G88" s="262" t="str">
        <f t="shared" si="7"/>
        <v>↔</v>
      </c>
      <c r="H88" s="263">
        <f>IF('WP5'!E23,'WP5'!E23,"  ")</f>
        <v>43891</v>
      </c>
      <c r="I88" s="264" t="s">
        <v>410</v>
      </c>
      <c r="J88" s="260"/>
      <c r="K88" s="260"/>
      <c r="L88" s="260"/>
      <c r="M88" s="265"/>
    </row>
    <row r="89" spans="1:13">
      <c r="A89" s="258" t="str">
        <f>_xlfn.CONCAT('WP5'!$E$2, ".",'WP5'!B24)</f>
        <v>5.6</v>
      </c>
      <c r="B89" s="259">
        <f>'WP5'!B24</f>
        <v>6</v>
      </c>
      <c r="C89" s="260">
        <f>'WP5'!$E$2</f>
        <v>5</v>
      </c>
      <c r="D89" s="260" t="str">
        <f>'WP5'!G24</f>
        <v>Allocations for Tier-2 hardware grants</v>
      </c>
      <c r="E89" s="261">
        <f>'WP5'!C24</f>
        <v>44440</v>
      </c>
      <c r="F89" s="261">
        <f>'WP5'!C24</f>
        <v>44440</v>
      </c>
      <c r="G89" s="262" t="str">
        <f t="shared" si="7"/>
        <v>↔</v>
      </c>
      <c r="H89" s="263">
        <f>IF('WP5'!E24,'WP5'!E24,"  ")</f>
        <v>43922</v>
      </c>
      <c r="I89" s="264" t="s">
        <v>410</v>
      </c>
      <c r="J89" s="260"/>
      <c r="K89" s="260"/>
      <c r="L89" s="260"/>
      <c r="M89" s="265"/>
    </row>
    <row r="90" spans="1:13">
      <c r="A90" s="258" t="str">
        <f>_xlfn.CONCAT('WP5'!$E$2, ".",'WP5'!B25)</f>
        <v>5.7</v>
      </c>
      <c r="B90" s="259">
        <f>'WP5'!B25</f>
        <v>7</v>
      </c>
      <c r="C90" s="260">
        <f>'WP5'!$E$2</f>
        <v>5</v>
      </c>
      <c r="D90" s="260" t="str">
        <f>'WP5'!G25</f>
        <v>Grants for Tier-2 hardware issued</v>
      </c>
      <c r="E90" s="261">
        <f>'WP5'!C25</f>
        <v>44470</v>
      </c>
      <c r="F90" s="261">
        <f>'WP5'!C25</f>
        <v>44470</v>
      </c>
      <c r="G90" s="262" t="str">
        <f t="shared" si="7"/>
        <v>↔</v>
      </c>
      <c r="H90" s="263">
        <f>IF('WP5'!E25,'WP5'!E25,"  ")</f>
        <v>43922</v>
      </c>
      <c r="I90" s="264" t="s">
        <v>410</v>
      </c>
      <c r="J90" s="260"/>
      <c r="K90" s="260"/>
      <c r="L90" s="260"/>
      <c r="M90" s="265"/>
    </row>
    <row r="91" spans="1:13">
      <c r="A91" s="258" t="str">
        <f>_xlfn.CONCAT('WP5'!$E$2, ".",'WP5'!B26)</f>
        <v>5.8</v>
      </c>
      <c r="B91" s="259">
        <f>'WP5'!B26</f>
        <v>8</v>
      </c>
      <c r="C91" s="260">
        <f>'WP5'!$E$2</f>
        <v>5</v>
      </c>
      <c r="D91" s="260" t="str">
        <f>'WP5'!G26</f>
        <v>Allocations  for Tier-2 hardware grants</v>
      </c>
      <c r="E91" s="261">
        <f>'WP5'!C26</f>
        <v>45171</v>
      </c>
      <c r="F91" s="261">
        <f>'WP5'!C26</f>
        <v>45171</v>
      </c>
      <c r="G91" s="262" t="str">
        <f t="shared" si="7"/>
        <v>↔</v>
      </c>
      <c r="H91" s="263">
        <f>IF('WP5'!E26,'WP5'!E26,"  ")</f>
        <v>44531</v>
      </c>
      <c r="I91" s="264" t="s">
        <v>409</v>
      </c>
      <c r="J91" s="260"/>
      <c r="K91" s="260"/>
      <c r="L91" s="260"/>
      <c r="M91" s="265"/>
    </row>
    <row r="92" spans="1:13">
      <c r="A92" s="258" t="str">
        <f>_xlfn.CONCAT('WP5'!$E$2, ".",'WP5'!B27)</f>
        <v>5.9</v>
      </c>
      <c r="B92" s="259">
        <f>'WP5'!B27</f>
        <v>9</v>
      </c>
      <c r="C92" s="260">
        <f>'WP5'!$E$2</f>
        <v>5</v>
      </c>
      <c r="D92" s="260" t="str">
        <f>'WP5'!G27</f>
        <v>Grants for Tier-2 hardware issued</v>
      </c>
      <c r="E92" s="261">
        <f>'WP5'!C27</f>
        <v>45202</v>
      </c>
      <c r="F92" s="261">
        <f>'WP5'!C27</f>
        <v>45202</v>
      </c>
      <c r="G92" s="262" t="str">
        <f t="shared" si="7"/>
        <v>↔</v>
      </c>
      <c r="H92" s="263" t="str">
        <f>IF('WP5'!E27,'WP5'!E27,"  ")</f>
        <v xml:space="preserve">  </v>
      </c>
      <c r="I92" s="264" t="s">
        <v>409</v>
      </c>
      <c r="J92" s="260"/>
      <c r="K92" s="260"/>
      <c r="L92" s="260"/>
      <c r="M92" s="265"/>
    </row>
    <row r="93" spans="1:13">
      <c r="A93" s="258" t="str">
        <f>_xlfn.CONCAT('WP5'!$E$2, ".",'WP5'!B28)</f>
        <v>5.10</v>
      </c>
      <c r="B93" s="259">
        <f>'WP5'!B28</f>
        <v>10</v>
      </c>
      <c r="C93" s="260">
        <f>'WP5'!$E$2</f>
        <v>5</v>
      </c>
      <c r="D93" s="260" t="str">
        <f>'WP5'!G28</f>
        <v>Post-GridPP6 planning initiated</v>
      </c>
      <c r="E93" s="261">
        <f>'WP5'!C28</f>
        <v>45017</v>
      </c>
      <c r="F93" s="261">
        <f>'WP5'!C28</f>
        <v>45017</v>
      </c>
      <c r="G93" s="262" t="str">
        <f t="shared" si="7"/>
        <v>↔</v>
      </c>
      <c r="H93" s="263" t="str">
        <f>IF('WP5'!E28,'WP5'!E28,"  ")</f>
        <v xml:space="preserve">  </v>
      </c>
      <c r="I93" s="264" t="s">
        <v>409</v>
      </c>
      <c r="J93" s="260"/>
      <c r="K93" s="260"/>
      <c r="L93" s="260"/>
      <c r="M93" s="265"/>
    </row>
    <row r="94" spans="1:13">
      <c r="A94" s="258" t="str">
        <f>_xlfn.CONCAT('WP5'!$E$2, ".",'WP5'!B29)</f>
        <v>5.11</v>
      </c>
      <c r="B94" s="259">
        <f>'WP5'!B29</f>
        <v>11</v>
      </c>
      <c r="C94" s="260">
        <f>'WP5'!$E$2</f>
        <v>5</v>
      </c>
      <c r="D94" s="260" t="str">
        <f>'WP5'!G29</f>
        <v>OC papers submitted 2 weeks before meeting</v>
      </c>
      <c r="E94" s="261" t="str">
        <f>'WP5'!C29</f>
        <v>Variable</v>
      </c>
      <c r="F94" s="261" t="str">
        <f>'WP5'!C29</f>
        <v>Variable</v>
      </c>
      <c r="G94" s="262" t="str">
        <f t="shared" si="7"/>
        <v>↔</v>
      </c>
      <c r="H94" s="263" t="str">
        <f>IF('WP5'!E29,'WP5'!E29,"  ")</f>
        <v xml:space="preserve">  </v>
      </c>
      <c r="I94" s="264" t="s">
        <v>409</v>
      </c>
      <c r="J94" s="260"/>
      <c r="K94" s="260"/>
      <c r="L94" s="260"/>
      <c r="M94" s="265"/>
    </row>
    <row r="95" spans="1:13">
      <c r="A95" s="258" t="str">
        <f>_xlfn.CONCAT('WP5'!$E$2, ".",'WP5'!B30)</f>
        <v>5.12</v>
      </c>
      <c r="B95" s="259">
        <f>'WP5'!B30</f>
        <v>12</v>
      </c>
      <c r="C95" s="260">
        <f>'WP5'!$E$2</f>
        <v>5</v>
      </c>
      <c r="D95" s="260" t="str">
        <f>'WP5'!G30</f>
        <v>WLCG pledges updated</v>
      </c>
      <c r="E95" s="261">
        <f>'WP5'!C30</f>
        <v>44104</v>
      </c>
      <c r="F95" s="261">
        <f>'WP5'!C30</f>
        <v>44104</v>
      </c>
      <c r="G95" s="262" t="str">
        <f t="shared" si="7"/>
        <v>↔</v>
      </c>
      <c r="H95" s="263">
        <f>IF('WP5'!E30,'WP5'!E30,"  ")</f>
        <v>44075</v>
      </c>
      <c r="I95" s="264" t="s">
        <v>409</v>
      </c>
      <c r="J95" s="260"/>
      <c r="K95" s="260"/>
      <c r="L95" s="260"/>
      <c r="M95" s="265"/>
    </row>
    <row r="96" spans="1:13">
      <c r="A96" s="258" t="str">
        <f>_xlfn.CONCAT('WP5'!$E$2, ".",'WP5'!B31)</f>
        <v>5.13</v>
      </c>
      <c r="B96" s="259">
        <f>'WP5'!B31</f>
        <v>13</v>
      </c>
      <c r="C96" s="260">
        <f>'WP5'!$E$2</f>
        <v>5</v>
      </c>
      <c r="D96" s="260" t="str">
        <f>'WP5'!G31</f>
        <v>Year 1 review of service to experiments</v>
      </c>
      <c r="E96" s="261">
        <f>'WP5'!C31</f>
        <v>44196</v>
      </c>
      <c r="F96" s="261">
        <f>'WP5'!C31</f>
        <v>44196</v>
      </c>
      <c r="G96" s="262" t="str">
        <f t="shared" si="7"/>
        <v>↔</v>
      </c>
      <c r="H96" s="263">
        <f>IF('WP5'!E31,'WP5'!E31,"  ")</f>
        <v>44105</v>
      </c>
      <c r="I96" s="264" t="s">
        <v>409</v>
      </c>
      <c r="J96" s="260"/>
      <c r="K96" s="260"/>
      <c r="L96" s="260"/>
      <c r="M96" s="265"/>
    </row>
    <row r="97" spans="1:13">
      <c r="A97" s="258" t="str">
        <f>_xlfn.CONCAT('WP5'!$E$2, ".",'WP5'!B32)</f>
        <v>5.14</v>
      </c>
      <c r="B97" s="259">
        <f>'WP5'!B32</f>
        <v>14</v>
      </c>
      <c r="C97" s="260">
        <f>'WP5'!$E$2</f>
        <v>5</v>
      </c>
      <c r="D97" s="260" t="str">
        <f>'WP5'!G32</f>
        <v>WLCG pledges updated</v>
      </c>
      <c r="E97" s="261">
        <f>'WP5'!C32</f>
        <v>44469</v>
      </c>
      <c r="F97" s="261">
        <f>'WP5'!C32</f>
        <v>44469</v>
      </c>
      <c r="G97" s="262" t="str">
        <f t="shared" si="7"/>
        <v>↔</v>
      </c>
      <c r="H97" s="263">
        <f>IF('WP5'!E32,'WP5'!E32,"  ")</f>
        <v>44440</v>
      </c>
      <c r="I97" s="264" t="s">
        <v>409</v>
      </c>
      <c r="J97" s="260"/>
      <c r="K97" s="260"/>
      <c r="L97" s="260"/>
      <c r="M97" s="265"/>
    </row>
    <row r="98" spans="1:13">
      <c r="A98" s="258" t="str">
        <f>_xlfn.CONCAT('WP5'!$E$2, ".",'WP5'!B33)</f>
        <v>5.15</v>
      </c>
      <c r="B98" s="259">
        <f>'WP5'!B33</f>
        <v>15</v>
      </c>
      <c r="C98" s="260">
        <f>'WP5'!$E$2</f>
        <v>5</v>
      </c>
      <c r="D98" s="260" t="str">
        <f>'WP5'!G33</f>
        <v>Year 2 review of service to experiments</v>
      </c>
      <c r="E98" s="261">
        <f>'WP5'!C33</f>
        <v>44561</v>
      </c>
      <c r="F98" s="261">
        <f>'WP5'!C33</f>
        <v>44561</v>
      </c>
      <c r="G98" s="262" t="str">
        <f t="shared" si="7"/>
        <v>↔</v>
      </c>
      <c r="H98" s="263">
        <f>IF('WP5'!E33,'WP5'!E33,"  ")</f>
        <v>44531</v>
      </c>
      <c r="I98" s="264" t="s">
        <v>409</v>
      </c>
      <c r="J98" s="260"/>
      <c r="K98" s="260"/>
      <c r="L98" s="260"/>
      <c r="M98" s="265"/>
    </row>
    <row r="99" spans="1:13">
      <c r="A99" s="258" t="str">
        <f>_xlfn.CONCAT('WP5'!$E$2, ".",'WP5'!B34)</f>
        <v>5.16</v>
      </c>
      <c r="B99" s="259">
        <f>'WP5'!B34</f>
        <v>16</v>
      </c>
      <c r="C99" s="260">
        <f>'WP5'!$E$2</f>
        <v>5</v>
      </c>
      <c r="D99" s="260" t="str">
        <f>'WP5'!G34</f>
        <v>WLCG pledges updated</v>
      </c>
      <c r="E99" s="261">
        <f>'WP5'!C34</f>
        <v>44834</v>
      </c>
      <c r="F99" s="261">
        <f>'WP5'!C34</f>
        <v>44834</v>
      </c>
      <c r="G99" s="262" t="str">
        <f t="shared" si="7"/>
        <v>↔</v>
      </c>
      <c r="H99" s="263" t="str">
        <f>IF('WP5'!E34,'WP5'!E34,"  ")</f>
        <v xml:space="preserve">  </v>
      </c>
      <c r="I99" s="264" t="s">
        <v>409</v>
      </c>
      <c r="J99" s="260"/>
      <c r="K99" s="260"/>
      <c r="L99" s="260"/>
      <c r="M99" s="265"/>
    </row>
    <row r="100" spans="1:13">
      <c r="A100" s="258" t="str">
        <f>_xlfn.CONCAT('WP5'!$E$2, ".",'WP5'!B35)</f>
        <v>5.17</v>
      </c>
      <c r="B100" s="259">
        <f>'WP5'!B35</f>
        <v>17</v>
      </c>
      <c r="C100" s="260">
        <f>'WP5'!$E$2</f>
        <v>5</v>
      </c>
      <c r="D100" s="260" t="str">
        <f>'WP5'!G35</f>
        <v>Year 3 review of service to experiments</v>
      </c>
      <c r="E100" s="261">
        <f>'WP5'!C35</f>
        <v>44926</v>
      </c>
      <c r="F100" s="261">
        <f>'WP5'!C35</f>
        <v>44926</v>
      </c>
      <c r="G100" s="262" t="str">
        <f>IF(F100&gt;E100,"↑",IF(F100&lt;E100,"↓",IF(F100=E100,"↔"," ")))</f>
        <v>↔</v>
      </c>
      <c r="H100" s="263" t="str">
        <f>IF('WP5'!E35,'WP5'!E35,"  ")</f>
        <v xml:space="preserve">  </v>
      </c>
      <c r="I100" s="264" t="s">
        <v>409</v>
      </c>
      <c r="J100" s="260"/>
      <c r="K100" s="260"/>
      <c r="L100" s="260"/>
      <c r="M100" s="265"/>
    </row>
    <row r="101" spans="1:13">
      <c r="A101" s="258" t="str">
        <f>_xlfn.CONCAT('WP5'!$E$2, ".",'WP5'!B36)</f>
        <v>5.18</v>
      </c>
      <c r="B101" s="259">
        <f>'WP5'!B36</f>
        <v>18</v>
      </c>
      <c r="C101" s="260">
        <f>'WP5'!$E$2</f>
        <v>5</v>
      </c>
      <c r="D101" s="260" t="str">
        <f>'WP5'!G36</f>
        <v>WLCG pledges updated</v>
      </c>
      <c r="E101" s="261">
        <f>'WP5'!C36</f>
        <v>45199</v>
      </c>
      <c r="F101" s="261">
        <f>'WP5'!C36</f>
        <v>45199</v>
      </c>
      <c r="G101" s="262" t="str">
        <f>IF(F101&gt;E101,"↑",IF(F101&lt;E101,"↓",IF(F101=E101,"↔"," ")))</f>
        <v>↔</v>
      </c>
      <c r="H101" s="263" t="str">
        <f>IF('WP5'!E36,'WP5'!E36,"  ")</f>
        <v xml:space="preserve">  </v>
      </c>
      <c r="I101" s="264" t="s">
        <v>409</v>
      </c>
      <c r="J101" s="260"/>
      <c r="K101" s="260"/>
      <c r="L101" s="260"/>
      <c r="M101" s="265"/>
    </row>
    <row r="102" spans="1:13">
      <c r="A102" s="258" t="str">
        <f>_xlfn.CONCAT('WP5'!$E$2, ".",'WP5'!B37)</f>
        <v>5.19</v>
      </c>
      <c r="B102" s="259">
        <f>'WP5'!B37</f>
        <v>19</v>
      </c>
      <c r="C102" s="260">
        <f>'WP5'!$E$2</f>
        <v>5</v>
      </c>
      <c r="D102" s="260" t="str">
        <f>'WP5'!G37</f>
        <v>Year 4 review of service to experiments</v>
      </c>
      <c r="E102" s="261">
        <f>'WP5'!C37</f>
        <v>45291</v>
      </c>
      <c r="F102" s="261">
        <f>'WP5'!C37</f>
        <v>45291</v>
      </c>
      <c r="G102" s="262" t="str">
        <f>IF(F102&gt;E102,"↑",IF(F102&lt;E102,"↓",IF(F102=E102,"↔"," ")))</f>
        <v>↔</v>
      </c>
      <c r="H102" s="263" t="str">
        <f>IF('WP5'!E37,'WP5'!E37,"  ")</f>
        <v xml:space="preserve">  </v>
      </c>
      <c r="I102" s="264" t="s">
        <v>409</v>
      </c>
      <c r="J102" s="260"/>
      <c r="K102" s="260"/>
      <c r="L102" s="260"/>
      <c r="M102" s="265"/>
    </row>
  </sheetData>
  <mergeCells count="11">
    <mergeCell ref="M2:M3"/>
    <mergeCell ref="A1:M1"/>
    <mergeCell ref="A2:A3"/>
    <mergeCell ref="C2:C3"/>
    <mergeCell ref="D2:D3"/>
    <mergeCell ref="E2:E3"/>
    <mergeCell ref="F2:G2"/>
    <mergeCell ref="H2:H3"/>
    <mergeCell ref="I2:I3"/>
    <mergeCell ref="J2:K2"/>
    <mergeCell ref="L2:L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EC9F1-5DA1-4C32-85A3-281842956EAD}">
  <dimension ref="B2:BA24"/>
  <sheetViews>
    <sheetView workbookViewId="0">
      <selection activeCell="X18" sqref="X18"/>
    </sheetView>
  </sheetViews>
  <sheetFormatPr defaultRowHeight="15"/>
  <cols>
    <col min="3" max="3" width="8.42578125" customWidth="1"/>
    <col min="4" max="4" width="2.7109375" customWidth="1"/>
    <col min="5" max="5" width="6.85546875" customWidth="1"/>
    <col min="6" max="6" width="21" customWidth="1"/>
    <col min="7" max="8" width="7.28515625" style="2" customWidth="1"/>
    <col min="9" max="9" width="3.28515625" customWidth="1"/>
    <col min="10" max="10" width="10.85546875" style="2" customWidth="1"/>
    <col min="11" max="30" width="3.42578125" style="2" customWidth="1"/>
    <col min="31" max="53" width="3.42578125" customWidth="1"/>
  </cols>
  <sheetData>
    <row r="2" spans="2:53">
      <c r="B2" s="162" t="s">
        <v>41</v>
      </c>
      <c r="C2" s="9">
        <v>2022</v>
      </c>
      <c r="E2" s="344" t="s">
        <v>31</v>
      </c>
      <c r="F2" s="345"/>
      <c r="G2" s="345"/>
      <c r="H2" s="346"/>
      <c r="J2" s="164" t="s">
        <v>42</v>
      </c>
      <c r="K2" s="329">
        <v>1</v>
      </c>
      <c r="L2" s="329">
        <v>2</v>
      </c>
      <c r="M2" s="329">
        <v>3</v>
      </c>
      <c r="N2" s="329">
        <v>4</v>
      </c>
      <c r="O2" s="329">
        <v>5</v>
      </c>
      <c r="P2" s="329">
        <v>6</v>
      </c>
      <c r="Q2" s="329">
        <v>7</v>
      </c>
      <c r="R2" s="329">
        <v>8</v>
      </c>
      <c r="S2" s="329">
        <v>9</v>
      </c>
      <c r="T2" s="329">
        <v>10</v>
      </c>
      <c r="U2" s="329">
        <v>11</v>
      </c>
      <c r="V2" s="329">
        <v>12</v>
      </c>
      <c r="W2" s="329">
        <v>13</v>
      </c>
      <c r="X2" s="329">
        <v>14</v>
      </c>
      <c r="Y2" s="329">
        <v>15</v>
      </c>
      <c r="Z2" s="329">
        <v>16</v>
      </c>
      <c r="AA2" s="329">
        <v>17</v>
      </c>
      <c r="AB2" s="329">
        <v>18</v>
      </c>
      <c r="AC2" s="329">
        <v>19</v>
      </c>
      <c r="AD2" s="329">
        <v>20</v>
      </c>
      <c r="AE2" s="329">
        <v>21</v>
      </c>
      <c r="AF2" s="329">
        <v>22</v>
      </c>
      <c r="AG2" s="329">
        <v>23</v>
      </c>
      <c r="AH2" s="329">
        <v>24</v>
      </c>
      <c r="AI2" s="329">
        <v>25</v>
      </c>
      <c r="AJ2" s="329">
        <v>26</v>
      </c>
      <c r="AK2" s="329">
        <v>27</v>
      </c>
      <c r="AL2" s="329">
        <v>28</v>
      </c>
      <c r="AM2" s="329">
        <v>29</v>
      </c>
      <c r="AN2" s="329">
        <v>30</v>
      </c>
      <c r="AO2" s="329">
        <v>31</v>
      </c>
      <c r="AP2" s="329">
        <v>32</v>
      </c>
      <c r="AQ2" s="329">
        <v>33</v>
      </c>
      <c r="AR2" s="329">
        <v>34</v>
      </c>
      <c r="AS2" s="329">
        <v>35</v>
      </c>
      <c r="AT2" s="329">
        <v>36</v>
      </c>
      <c r="AU2" s="329">
        <v>37</v>
      </c>
      <c r="AV2" s="329">
        <v>38</v>
      </c>
      <c r="AW2" s="329">
        <v>39</v>
      </c>
      <c r="AX2" s="329">
        <v>40</v>
      </c>
      <c r="AY2" s="329">
        <v>41</v>
      </c>
      <c r="AZ2" s="329">
        <v>42</v>
      </c>
      <c r="BA2" s="330">
        <v>43</v>
      </c>
    </row>
    <row r="3" spans="2:53">
      <c r="B3" s="162" t="s">
        <v>43</v>
      </c>
      <c r="C3" s="9" t="s">
        <v>437</v>
      </c>
      <c r="E3" s="295" t="s">
        <v>44</v>
      </c>
      <c r="F3" s="163" t="s">
        <v>45</v>
      </c>
      <c r="G3" s="325" t="s">
        <v>46</v>
      </c>
      <c r="H3" s="301" t="s">
        <v>47</v>
      </c>
      <c r="J3" s="165" t="s">
        <v>48</v>
      </c>
      <c r="K3" s="111" t="str">
        <f>WP1a!$F$6</f>
        <v>MOK</v>
      </c>
      <c r="L3" s="108" t="str">
        <f>WP1a!$F$7</f>
        <v>MOK</v>
      </c>
      <c r="M3" s="108" t="str">
        <f>WP1a!$F$8</f>
        <v>MOK</v>
      </c>
      <c r="N3" s="108" t="str">
        <f>WP1a!$F$9</f>
        <v>MOK</v>
      </c>
      <c r="O3" s="108" t="str">
        <f>WP1a!$F$10</f>
        <v>MOK</v>
      </c>
      <c r="P3" s="108" t="str">
        <f>WP1a!$F$11</f>
        <v>MOK</v>
      </c>
      <c r="Q3" s="108" t="str">
        <f>WP1a!$F$12</f>
        <v>MFL</v>
      </c>
      <c r="R3" s="108" t="str">
        <f>WP1a!$F$13</f>
        <v>MOK</v>
      </c>
      <c r="S3" s="108" t="str">
        <f>WP1a!$F$14</f>
        <v>MCT</v>
      </c>
      <c r="T3" s="108" t="str">
        <f>WP1a!$F$15</f>
        <v>MOK</v>
      </c>
      <c r="U3" s="108" t="str">
        <f>WP1a!$F$16</f>
        <v>MOK</v>
      </c>
      <c r="V3" s="108" t="str">
        <f>WP1a!$F$17</f>
        <v>MOK</v>
      </c>
      <c r="W3" s="108" t="str">
        <f>WP1a!$F$18</f>
        <v>MOK</v>
      </c>
      <c r="X3" s="108" t="str">
        <f>WP1a!$F$19</f>
        <v>MOK</v>
      </c>
      <c r="Y3" s="108" t="str">
        <f>WP1a!$F$20</f>
        <v>MOK</v>
      </c>
      <c r="Z3" s="108" t="str">
        <f>WP1a!$F$21</f>
        <v>MFL</v>
      </c>
      <c r="AA3" s="108" t="str">
        <f>WP1a!$F$22</f>
        <v>MFL</v>
      </c>
      <c r="AB3" s="108" t="str">
        <f>WP1a!$F$23</f>
        <v>MOK</v>
      </c>
      <c r="AC3" s="108" t="str">
        <f>WP1a!$F$24</f>
        <v>MFL</v>
      </c>
      <c r="AD3" s="108" t="str">
        <f>WP1a!$F$25</f>
        <v>MFL</v>
      </c>
      <c r="AE3" s="108" t="str">
        <f>WP1a!$F$26</f>
        <v>MCT</v>
      </c>
      <c r="AF3" s="108" t="str">
        <f>WP1a!$F$27</f>
        <v>MOK</v>
      </c>
      <c r="AG3" s="108" t="str">
        <f>WP1a!$F$28</f>
        <v>MOK</v>
      </c>
      <c r="AH3" s="108" t="str">
        <f>WP1a!$F$29</f>
        <v>MCT</v>
      </c>
      <c r="AI3" s="108" t="str">
        <f>WP1a!$F$30</f>
        <v>MCT</v>
      </c>
      <c r="AJ3" s="108" t="str">
        <f>WP1a!$F$31</f>
        <v>MOK</v>
      </c>
      <c r="AK3" s="108" t="str">
        <f>WP1a!$F$32</f>
        <v>MOK</v>
      </c>
      <c r="AL3" s="108" t="str">
        <f>WP1a!$F$33</f>
        <v>MOK</v>
      </c>
      <c r="AM3" s="108" t="str">
        <f>WP1a!$F$34</f>
        <v>MOK</v>
      </c>
      <c r="AN3" s="108" t="str">
        <f>WP1a!$F$35</f>
        <v>MOK</v>
      </c>
      <c r="AO3" s="108" t="str">
        <f>WP1a!$F$36</f>
        <v>MOK</v>
      </c>
      <c r="AP3" s="108" t="str">
        <f>WP1a!$F$37</f>
        <v>MOK</v>
      </c>
      <c r="AQ3" s="108" t="str">
        <f>WP1a!$F$38</f>
        <v>MOK</v>
      </c>
      <c r="AR3" s="109"/>
      <c r="AS3" s="109"/>
      <c r="AT3" s="109"/>
      <c r="AU3" s="109"/>
      <c r="AV3" s="109"/>
      <c r="AW3" s="109"/>
      <c r="AX3" s="109"/>
      <c r="AY3" s="109"/>
      <c r="AZ3" s="109"/>
      <c r="BA3" s="110"/>
    </row>
    <row r="4" spans="2:53">
      <c r="E4" s="296"/>
      <c r="F4" s="4" t="s">
        <v>33</v>
      </c>
      <c r="G4" s="49" t="s">
        <v>49</v>
      </c>
      <c r="H4" s="303">
        <f>COUNTIF($K$3:$BA$9,"MOK")</f>
        <v>107</v>
      </c>
      <c r="J4" s="166" t="s">
        <v>50</v>
      </c>
      <c r="K4" s="112" t="str">
        <f>WP1b!$F$6</f>
        <v>MOK</v>
      </c>
      <c r="L4" s="88" t="str">
        <f>WP1b!$F$7</f>
        <v>MOK</v>
      </c>
      <c r="M4" s="88" t="str">
        <f>WP1b!$F$8</f>
        <v>MOK</v>
      </c>
      <c r="N4" s="88" t="str">
        <f>WP1b!$F$9</f>
        <v>MOK</v>
      </c>
      <c r="O4" s="88" t="str">
        <f>WP1b!$F$10</f>
        <v>MOK</v>
      </c>
      <c r="P4" s="88" t="str">
        <f>WP1b!$F$11</f>
        <v>MOK</v>
      </c>
      <c r="Q4" s="88" t="str">
        <f>WP1b!$F$12</f>
        <v>MOK</v>
      </c>
      <c r="R4" s="88" t="str">
        <f>WP1b!$F$13</f>
        <v>MOK</v>
      </c>
      <c r="S4" s="88" t="str">
        <f>WP1b!$F$14</f>
        <v>MOK</v>
      </c>
      <c r="T4" s="88" t="str">
        <f>WP1b!$F$15</f>
        <v>MOK</v>
      </c>
      <c r="U4" s="88" t="str">
        <f>WP1b!$F$16</f>
        <v>MOK</v>
      </c>
      <c r="V4" s="88" t="str">
        <f>WP1b!$F$17</f>
        <v>MOK</v>
      </c>
      <c r="W4" s="88" t="str">
        <f>WP1b!$F$18</f>
        <v>MOK</v>
      </c>
      <c r="X4" s="88" t="str">
        <f>WP1b!$F$19</f>
        <v>MOK</v>
      </c>
      <c r="Y4" s="88" t="str">
        <f>WP1b!$F$20</f>
        <v>MOK</v>
      </c>
      <c r="Z4" s="88" t="str">
        <f>WP1b!$F$21</f>
        <v>MOK</v>
      </c>
      <c r="AA4" s="88" t="str">
        <f>WP1b!$F$22</f>
        <v>MOK</v>
      </c>
      <c r="AB4" s="88" t="str">
        <f>WP1b!$F$23</f>
        <v>MOK</v>
      </c>
      <c r="AC4" s="88" t="str">
        <f>WP1b!$F$24</f>
        <v>MFL</v>
      </c>
      <c r="AD4" s="88" t="str">
        <f>WP1b!$F$25</f>
        <v>MFL</v>
      </c>
      <c r="AE4" s="89"/>
      <c r="AF4" s="89"/>
      <c r="AG4" s="89"/>
      <c r="AH4" s="89"/>
      <c r="AI4" s="89"/>
      <c r="AJ4" s="89"/>
      <c r="AK4" s="89"/>
      <c r="AL4" s="89"/>
      <c r="AM4" s="89"/>
      <c r="AN4" s="89"/>
      <c r="AO4" s="89"/>
      <c r="AP4" s="89"/>
      <c r="AQ4" s="89"/>
      <c r="AR4" s="89"/>
      <c r="AS4" s="89"/>
      <c r="AT4" s="89"/>
      <c r="AU4" s="89"/>
      <c r="AV4" s="89"/>
      <c r="AW4" s="89"/>
      <c r="AX4" s="89"/>
      <c r="AY4" s="89"/>
      <c r="AZ4" s="89"/>
      <c r="BA4" s="93"/>
    </row>
    <row r="5" spans="2:53">
      <c r="E5" s="297"/>
      <c r="F5" s="4" t="s">
        <v>51</v>
      </c>
      <c r="G5" s="49" t="s">
        <v>52</v>
      </c>
      <c r="H5" s="303">
        <f>COUNTIF($K$3:$BA$9,"MCT")</f>
        <v>14</v>
      </c>
      <c r="J5" s="166" t="s">
        <v>53</v>
      </c>
      <c r="K5" s="112" t="str">
        <f>WP1c!$F$6</f>
        <v>MOK</v>
      </c>
      <c r="L5" s="88" t="str">
        <f>WP1c!$F$7</f>
        <v>MOK</v>
      </c>
      <c r="M5" s="88" t="str">
        <f>WP1c!$F$8</f>
        <v>MOK</v>
      </c>
      <c r="N5" s="88" t="str">
        <f>WP1c!$F$9</f>
        <v>MOK</v>
      </c>
      <c r="O5" s="88" t="str">
        <f>WP1c!$F$10</f>
        <v>MOK</v>
      </c>
      <c r="P5" s="88" t="str">
        <f>WP1c!$F$11</f>
        <v>MFL</v>
      </c>
      <c r="Q5" s="88" t="str">
        <f>WP1c!$F$12</f>
        <v>MOK</v>
      </c>
      <c r="R5" s="88" t="str">
        <f>WP1c!$F$13</f>
        <v>MOK</v>
      </c>
      <c r="S5" s="88" t="str">
        <f>WP1c!$F$14</f>
        <v>MFL</v>
      </c>
      <c r="T5" s="88" t="str">
        <f>WP1c!$F$15</f>
        <v>MOK</v>
      </c>
      <c r="U5" s="88" t="str">
        <f>WP1c!$F$16</f>
        <v>MOK</v>
      </c>
      <c r="V5" s="88" t="str">
        <f>WP1c!$F$17</f>
        <v>MOK</v>
      </c>
      <c r="W5" s="88" t="str">
        <f>WP1c!$F$18</f>
        <v>MOK</v>
      </c>
      <c r="X5" s="88" t="str">
        <f>WP1c!$F$19</f>
        <v>MNO</v>
      </c>
      <c r="Y5" s="88" t="str">
        <f>WP1c!$F$20</f>
        <v>MOK</v>
      </c>
      <c r="Z5" s="88"/>
      <c r="AA5" s="88"/>
      <c r="AB5" s="88"/>
      <c r="AC5" s="88"/>
      <c r="AD5" s="88"/>
      <c r="AE5" s="89"/>
      <c r="AF5" s="89"/>
      <c r="AG5" s="89"/>
      <c r="AH5" s="89"/>
      <c r="AI5" s="89"/>
      <c r="AJ5" s="89"/>
      <c r="AK5" s="89"/>
      <c r="AL5" s="89"/>
      <c r="AM5" s="89"/>
      <c r="AN5" s="89"/>
      <c r="AO5" s="89"/>
      <c r="AP5" s="89"/>
      <c r="AQ5" s="89"/>
      <c r="AR5" s="89"/>
      <c r="AS5" s="89"/>
      <c r="AT5" s="89"/>
      <c r="AU5" s="89"/>
      <c r="AV5" s="89"/>
      <c r="AW5" s="89"/>
      <c r="AX5" s="89"/>
      <c r="AY5" s="89"/>
      <c r="AZ5" s="89"/>
      <c r="BA5" s="93"/>
    </row>
    <row r="6" spans="2:53">
      <c r="E6" s="298"/>
      <c r="F6" s="4" t="s">
        <v>37</v>
      </c>
      <c r="G6" s="49" t="s">
        <v>54</v>
      </c>
      <c r="H6" s="303">
        <f>COUNTIF($K$3:$BA$9,"MFL")</f>
        <v>14</v>
      </c>
      <c r="J6" s="166" t="s">
        <v>55</v>
      </c>
      <c r="K6" s="112" t="str">
        <f>'WP2'!$F$6</f>
        <v>MCT</v>
      </c>
      <c r="L6" s="88" t="str">
        <f>'WP2'!$F$7</f>
        <v>MCT</v>
      </c>
      <c r="M6" s="88" t="str">
        <f>'WP2'!$F$8</f>
        <v>MOK</v>
      </c>
      <c r="N6" s="88" t="str">
        <f>'WP2'!$F$9</f>
        <v>MCT</v>
      </c>
      <c r="O6" s="88" t="str">
        <f>'WP2'!$F$10</f>
        <v>MOK</v>
      </c>
      <c r="P6" s="88" t="str">
        <f>'WP2'!$F$11</f>
        <v>MOK</v>
      </c>
      <c r="Q6" s="88" t="str">
        <f>'WP2'!$F$12</f>
        <v>MOK</v>
      </c>
      <c r="R6" s="88" t="str">
        <f>'WP2'!$F$13</f>
        <v>MCT</v>
      </c>
      <c r="S6" s="88" t="str">
        <f>'WP2'!$F$14</f>
        <v>MCT</v>
      </c>
      <c r="T6" s="88" t="str">
        <f>'WP2'!$F$15</f>
        <v>MOK</v>
      </c>
      <c r="U6" s="88" t="str">
        <f>'WP2'!$F$16</f>
        <v>MOK</v>
      </c>
      <c r="V6" s="88" t="str">
        <f>'WP2'!$F$17</f>
        <v>MOK</v>
      </c>
      <c r="W6" s="88" t="str">
        <f>'WP2'!$F$18</f>
        <v>MCT</v>
      </c>
      <c r="X6" s="88" t="str">
        <f>'WP2'!$F$19</f>
        <v>MFL</v>
      </c>
      <c r="Y6" s="88" t="str">
        <f>'WP2'!$F$20</f>
        <v>MNO</v>
      </c>
      <c r="Z6" s="88" t="str">
        <f>'WP2'!$F$21</f>
        <v>MOK</v>
      </c>
      <c r="AA6" s="88" t="str">
        <f>'WP2'!$F$22</f>
        <v>MOK</v>
      </c>
      <c r="AB6" s="88" t="str">
        <f>'WP2'!$F$23</f>
        <v>MOK</v>
      </c>
      <c r="AC6" s="88" t="str">
        <f>'WP2'!$F$24</f>
        <v>MOK</v>
      </c>
      <c r="AD6" s="88" t="str">
        <f>'WP2'!$F$25</f>
        <v>MOK</v>
      </c>
      <c r="AE6" s="88" t="str">
        <f>'WP2'!$F$26</f>
        <v>MOK</v>
      </c>
      <c r="AF6" s="88" t="str">
        <f>'WP2'!$F$27</f>
        <v>MOK</v>
      </c>
      <c r="AG6" s="88" t="str">
        <f>'WP2'!$F$28</f>
        <v>MOK</v>
      </c>
      <c r="AH6" s="88" t="str">
        <f>'WP2'!$F$29</f>
        <v>MNO</v>
      </c>
      <c r="AI6" s="88" t="str">
        <f>'WP2'!$F$30</f>
        <v>MOK</v>
      </c>
      <c r="AJ6" s="88" t="str">
        <f>'WP2'!$F$31</f>
        <v>MOK</v>
      </c>
      <c r="AK6" s="88" t="str">
        <f>'WP2'!$F$32</f>
        <v>MOK</v>
      </c>
      <c r="AL6" s="88" t="str">
        <f>'WP2'!$F$33</f>
        <v>MOK</v>
      </c>
      <c r="AM6" s="88" t="str">
        <f>'WP2'!$F$34</f>
        <v>MOK</v>
      </c>
      <c r="AN6" s="88" t="str">
        <f>'WP2'!$F$35</f>
        <v>MOK</v>
      </c>
      <c r="AO6" s="88" t="str">
        <f>'WP2'!$F$36</f>
        <v>MOK</v>
      </c>
      <c r="AP6" s="88" t="str">
        <f>'WP2'!$F$37</f>
        <v>MOK</v>
      </c>
      <c r="AQ6" s="88" t="str">
        <f>'WP2'!$F$38</f>
        <v>MOK</v>
      </c>
      <c r="AR6" s="88" t="str">
        <f>'WP2'!$F$39</f>
        <v>MOK</v>
      </c>
      <c r="AS6" s="88" t="str">
        <f>'WP2'!$F$40</f>
        <v>MOK</v>
      </c>
      <c r="AT6" s="88" t="str">
        <f>'WP2'!$F$41</f>
        <v>MOK</v>
      </c>
      <c r="AU6" s="88" t="str">
        <f>'WP2'!$F$42</f>
        <v>MOK</v>
      </c>
      <c r="AV6" s="88" t="str">
        <f>'WP2'!$F$43</f>
        <v>MFL</v>
      </c>
      <c r="AW6" s="88" t="str">
        <f>'WP2'!$F$44</f>
        <v>MFL</v>
      </c>
      <c r="AX6" s="88" t="str">
        <f>'WP2'!$F$45</f>
        <v>MFL</v>
      </c>
      <c r="AY6" s="88" t="str">
        <f>'WP2'!$F$46</f>
        <v>MOK</v>
      </c>
      <c r="AZ6" s="88" t="str">
        <f>'WP2'!$F$47</f>
        <v>MCT</v>
      </c>
      <c r="BA6" s="94" t="str">
        <f>'WP2'!$F$48</f>
        <v>MCT</v>
      </c>
    </row>
    <row r="7" spans="2:53">
      <c r="E7" s="299"/>
      <c r="F7" s="300" t="s">
        <v>39</v>
      </c>
      <c r="G7" s="302" t="s">
        <v>56</v>
      </c>
      <c r="H7" s="303">
        <f>COUNTIF($K$3:$BA$9,"MNO")</f>
        <v>4</v>
      </c>
      <c r="J7" s="166" t="s">
        <v>57</v>
      </c>
      <c r="K7" s="112" t="str">
        <f>'WP3'!$F$6</f>
        <v>MOK</v>
      </c>
      <c r="L7" s="88" t="str">
        <f>'WP3'!$F$7</f>
        <v>MOK</v>
      </c>
      <c r="M7" s="88" t="str">
        <f>'WP3'!$F$8</f>
        <v>MOK</v>
      </c>
      <c r="N7" s="88" t="str">
        <f>'WP3'!$F$9</f>
        <v>MOK</v>
      </c>
      <c r="O7" s="88" t="str">
        <f>'WP3'!$F$10</f>
        <v>MOK</v>
      </c>
      <c r="P7" s="88" t="str">
        <f>'WP3'!$F$11</f>
        <v>MOK</v>
      </c>
      <c r="Q7" s="88" t="str">
        <f>'WP3'!$F$12</f>
        <v>MOK</v>
      </c>
      <c r="R7" s="88" t="str">
        <f>'WP3'!$F$13</f>
        <v>MOK</v>
      </c>
      <c r="S7" s="88" t="str">
        <f>'WP3'!$F$14</f>
        <v>MCT</v>
      </c>
      <c r="T7" s="88" t="str">
        <f>'WP3'!$F$15</f>
        <v>MOK</v>
      </c>
      <c r="U7" s="88" t="str">
        <f>'WP3'!$F$16</f>
        <v>MOK</v>
      </c>
      <c r="V7" s="88" t="str">
        <f>'WP3'!$F$17</f>
        <v>MOK</v>
      </c>
      <c r="W7" s="88" t="str">
        <f>'WP3'!$F$18</f>
        <v>MNO</v>
      </c>
      <c r="X7" s="88"/>
      <c r="Y7" s="90"/>
      <c r="Z7" s="90"/>
      <c r="AA7" s="90"/>
      <c r="AB7" s="90"/>
      <c r="AC7" s="90"/>
      <c r="AD7" s="90"/>
      <c r="AE7" s="89"/>
      <c r="AF7" s="89"/>
      <c r="AG7" s="89"/>
      <c r="AH7" s="89"/>
      <c r="AI7" s="89"/>
      <c r="AJ7" s="89"/>
      <c r="AK7" s="89"/>
      <c r="AL7" s="89"/>
      <c r="AM7" s="89"/>
      <c r="AN7" s="89"/>
      <c r="AO7" s="89"/>
      <c r="AP7" s="89"/>
      <c r="AQ7" s="89"/>
      <c r="AR7" s="89"/>
      <c r="AS7" s="89"/>
      <c r="AT7" s="89"/>
      <c r="AU7" s="89"/>
      <c r="AV7" s="89"/>
      <c r="AW7" s="89"/>
      <c r="AX7" s="89"/>
      <c r="AY7" s="89"/>
      <c r="AZ7" s="89"/>
      <c r="BA7" s="93"/>
    </row>
    <row r="8" spans="2:53">
      <c r="H8" s="2">
        <f>SUM(H4:H7)</f>
        <v>139</v>
      </c>
      <c r="J8" s="166" t="s">
        <v>58</v>
      </c>
      <c r="K8" s="112" t="str">
        <f>'WP4'!$F$6</f>
        <v>MOK</v>
      </c>
      <c r="L8" s="112" t="str">
        <f>'WP4'!$F$7</f>
        <v>MOK</v>
      </c>
      <c r="M8" s="112" t="str">
        <f>'WP4'!$F$8</f>
        <v>MOK</v>
      </c>
      <c r="N8" s="112" t="str">
        <f>'WP4'!$F$9</f>
        <v>MOK</v>
      </c>
      <c r="O8" s="112" t="str">
        <f>'WP4'!$F$10</f>
        <v>MOK</v>
      </c>
      <c r="P8" s="112" t="str">
        <f>'WP4'!$F$11</f>
        <v>mok</v>
      </c>
      <c r="Q8" s="88"/>
      <c r="R8" s="88"/>
      <c r="S8" s="88"/>
      <c r="T8" s="88"/>
      <c r="U8" s="88"/>
      <c r="V8" s="88"/>
      <c r="W8" s="88"/>
      <c r="X8" s="88"/>
      <c r="Y8" s="88"/>
      <c r="Z8" s="88"/>
      <c r="AA8" s="88"/>
      <c r="AB8" s="88"/>
      <c r="AC8" s="88"/>
      <c r="AD8" s="88"/>
      <c r="AE8" s="89"/>
      <c r="AF8" s="89"/>
      <c r="AG8" s="89"/>
      <c r="AH8" s="89"/>
      <c r="AI8" s="89"/>
      <c r="AJ8" s="89"/>
      <c r="AK8" s="89"/>
      <c r="AL8" s="89"/>
      <c r="AM8" s="89"/>
      <c r="AN8" s="89"/>
      <c r="AO8" s="89"/>
      <c r="AP8" s="89"/>
      <c r="AQ8" s="89"/>
      <c r="AR8" s="89"/>
      <c r="AS8" s="89"/>
      <c r="AT8" s="89"/>
      <c r="AU8" s="89"/>
      <c r="AV8" s="89"/>
      <c r="AW8" s="89"/>
      <c r="AX8" s="89"/>
      <c r="AY8" s="89"/>
      <c r="AZ8" s="89"/>
      <c r="BA8" s="93"/>
    </row>
    <row r="9" spans="2:53">
      <c r="J9" s="167" t="s">
        <v>59</v>
      </c>
      <c r="K9" s="113" t="str">
        <f>'WP5'!$F$6</f>
        <v>MOK</v>
      </c>
      <c r="L9" s="95" t="str">
        <f>'WP5'!$F$7</f>
        <v>MFL</v>
      </c>
      <c r="M9" s="95" t="str">
        <f>'WP5'!$F$8</f>
        <v>MOK</v>
      </c>
      <c r="N9" s="95" t="str">
        <f>'WP5'!$F$9</f>
        <v>MOK</v>
      </c>
      <c r="O9" s="95" t="str">
        <f>'WP5'!$F$10</f>
        <v>MCT</v>
      </c>
      <c r="P9" s="95" t="str">
        <f>'WP5'!$F$11</f>
        <v>MOK</v>
      </c>
      <c r="Q9" s="95" t="str">
        <f>'WP5'!$F$12</f>
        <v>MOK</v>
      </c>
      <c r="R9" s="95" t="str">
        <f>'WP5'!$F$13</f>
        <v>mok</v>
      </c>
      <c r="S9" s="95" t="str">
        <f>'WP5'!$F$14</f>
        <v>moK</v>
      </c>
      <c r="T9" s="95"/>
      <c r="U9" s="95"/>
      <c r="V9" s="95"/>
      <c r="W9" s="95"/>
      <c r="X9" s="95"/>
      <c r="Y9" s="95"/>
      <c r="Z9" s="95"/>
      <c r="AA9" s="95"/>
      <c r="AB9" s="95"/>
      <c r="AC9" s="95"/>
      <c r="AD9" s="95"/>
      <c r="AE9" s="96"/>
      <c r="AF9" s="96"/>
      <c r="AG9" s="96"/>
      <c r="AH9" s="96"/>
      <c r="AI9" s="96"/>
      <c r="AJ9" s="96"/>
      <c r="AK9" s="96"/>
      <c r="AL9" s="96"/>
      <c r="AM9" s="96"/>
      <c r="AN9" s="96"/>
      <c r="AO9" s="96"/>
      <c r="AP9" s="96"/>
      <c r="AQ9" s="96"/>
      <c r="AR9" s="96"/>
      <c r="AS9" s="96"/>
      <c r="AT9" s="96"/>
      <c r="AU9" s="96"/>
      <c r="AV9" s="96"/>
      <c r="AW9" s="96"/>
      <c r="AX9" s="96"/>
      <c r="AY9" s="96"/>
      <c r="AZ9" s="96"/>
      <c r="BA9" s="97"/>
    </row>
    <row r="11" spans="2:53">
      <c r="N11" s="74"/>
    </row>
    <row r="12" spans="2:53">
      <c r="E12" s="354" t="s">
        <v>32</v>
      </c>
      <c r="F12" s="355"/>
      <c r="G12" s="355"/>
      <c r="H12" s="355"/>
      <c r="J12" s="164" t="s">
        <v>60</v>
      </c>
      <c r="K12" s="329">
        <v>1</v>
      </c>
      <c r="L12" s="329">
        <v>2</v>
      </c>
      <c r="M12" s="329">
        <v>3</v>
      </c>
      <c r="N12" s="329">
        <v>4</v>
      </c>
      <c r="O12" s="329">
        <v>5</v>
      </c>
      <c r="P12" s="329">
        <v>6</v>
      </c>
      <c r="Q12" s="329">
        <v>7</v>
      </c>
      <c r="R12" s="329">
        <v>8</v>
      </c>
      <c r="S12" s="329">
        <v>9</v>
      </c>
      <c r="T12" s="329">
        <v>10</v>
      </c>
      <c r="U12" s="329">
        <v>11</v>
      </c>
      <c r="V12" s="329">
        <v>12</v>
      </c>
      <c r="W12" s="329">
        <v>13</v>
      </c>
      <c r="X12" s="329">
        <v>14</v>
      </c>
      <c r="Y12" s="329">
        <v>15</v>
      </c>
      <c r="Z12" s="329">
        <v>16</v>
      </c>
      <c r="AA12" s="329">
        <v>17</v>
      </c>
      <c r="AB12" s="329">
        <v>18</v>
      </c>
      <c r="AC12" s="329">
        <v>19</v>
      </c>
      <c r="AD12" s="329">
        <v>20</v>
      </c>
      <c r="AE12" s="329">
        <v>21</v>
      </c>
      <c r="AF12" s="329">
        <v>22</v>
      </c>
      <c r="AG12" s="329">
        <v>23</v>
      </c>
      <c r="AH12" s="330">
        <v>24</v>
      </c>
    </row>
    <row r="13" spans="2:53">
      <c r="E13" s="163" t="s">
        <v>44</v>
      </c>
      <c r="F13" s="163" t="s">
        <v>45</v>
      </c>
      <c r="G13" s="162" t="s">
        <v>46</v>
      </c>
      <c r="H13" s="301" t="s">
        <v>47</v>
      </c>
      <c r="J13" s="168" t="s">
        <v>48</v>
      </c>
      <c r="K13" s="116" t="str">
        <f>WP1a!$F$43</f>
        <v>MSU</v>
      </c>
      <c r="L13" s="117" t="str">
        <f>WP1a!$F$44</f>
        <v>MSU</v>
      </c>
      <c r="M13" s="117" t="str">
        <f>WP1a!$F$45</f>
        <v>MSA</v>
      </c>
      <c r="N13" s="117" t="str">
        <f>WP1a!$F$46</f>
        <v>MSA</v>
      </c>
      <c r="O13" s="117" t="str">
        <f>WP1a!$F$47</f>
        <v>MSA</v>
      </c>
      <c r="P13" s="117" t="str">
        <f>WP1a!$F$48</f>
        <v>MSA</v>
      </c>
      <c r="Q13" s="117" t="str">
        <f>WP1a!$F$49</f>
        <v>MSA</v>
      </c>
      <c r="R13" s="117" t="str">
        <f>WP1a!$F$50</f>
        <v>MSA</v>
      </c>
      <c r="S13" s="117" t="str">
        <f>WP1a!$F$51</f>
        <v>MSU</v>
      </c>
      <c r="T13" s="117" t="str">
        <f>WP1a!$F$52</f>
        <v>MSA</v>
      </c>
      <c r="U13" s="117" t="str">
        <f>WP1a!$F$53</f>
        <v>MSA</v>
      </c>
      <c r="V13" s="117" t="str">
        <f>WP1a!$F$54</f>
        <v>MSU</v>
      </c>
      <c r="W13" s="117" t="str">
        <f>WP1a!$F$55</f>
        <v>MSU</v>
      </c>
      <c r="X13" s="117" t="str">
        <f>WP1a!$F$56</f>
        <v>MSU</v>
      </c>
      <c r="Y13" s="117" t="str">
        <f>WP1a!$F$57</f>
        <v>MSU</v>
      </c>
      <c r="Z13" s="117" t="str">
        <f>WP1a!$F$58</f>
        <v>MSU</v>
      </c>
      <c r="AA13" s="117" t="str">
        <f>WP1a!$F$59</f>
        <v>MSU</v>
      </c>
      <c r="AB13" s="117" t="str">
        <f>WP1a!$F$60</f>
        <v>MSU</v>
      </c>
      <c r="AC13" s="117"/>
      <c r="AD13" s="117"/>
      <c r="AE13" s="109"/>
      <c r="AF13" s="109"/>
      <c r="AG13" s="109"/>
      <c r="AH13" s="110"/>
    </row>
    <row r="14" spans="2:53">
      <c r="E14" s="3"/>
      <c r="F14" s="4" t="s">
        <v>34</v>
      </c>
      <c r="G14" s="10" t="s">
        <v>61</v>
      </c>
      <c r="H14" s="303">
        <f>COUNTIF($K$13:$AH$19, "MSA")</f>
        <v>45</v>
      </c>
      <c r="J14" s="168" t="s">
        <v>50</v>
      </c>
      <c r="K14" s="114" t="str">
        <f>WP1b!$F$30</f>
        <v>MSA</v>
      </c>
      <c r="L14" s="91" t="str">
        <f>WP1b!$F$31</f>
        <v>MSA</v>
      </c>
      <c r="M14" s="91" t="str">
        <f>WP1b!$F$32</f>
        <v>MSA</v>
      </c>
      <c r="N14" s="91" t="str">
        <f>WP1b!$F$33</f>
        <v>MSA</v>
      </c>
      <c r="O14" s="91" t="str">
        <f>WP1b!$F$34</f>
        <v>MSU</v>
      </c>
      <c r="P14" s="91" t="str">
        <f>WP1b!$F$35</f>
        <v>MSU</v>
      </c>
      <c r="Q14" s="91" t="str">
        <f>WP1b!$F$36</f>
        <v>MSA</v>
      </c>
      <c r="R14" s="91" t="str">
        <f>WP1b!$F$37</f>
        <v>MSA</v>
      </c>
      <c r="S14" s="91" t="str">
        <f>WP1b!$F$38</f>
        <v>MSU</v>
      </c>
      <c r="T14" s="91" t="str">
        <f>WP1b!$F$39</f>
        <v>MSU</v>
      </c>
      <c r="U14" s="92"/>
      <c r="V14" s="92"/>
      <c r="W14" s="92"/>
      <c r="X14" s="92"/>
      <c r="Y14" s="92"/>
      <c r="Z14" s="92"/>
      <c r="AA14" s="92"/>
      <c r="AB14" s="92"/>
      <c r="AC14" s="92"/>
      <c r="AD14" s="92"/>
      <c r="AE14" s="89"/>
      <c r="AF14" s="89"/>
      <c r="AG14" s="89"/>
      <c r="AH14" s="93"/>
    </row>
    <row r="15" spans="2:53">
      <c r="E15" s="5"/>
      <c r="F15" s="4" t="s">
        <v>36</v>
      </c>
      <c r="G15" s="10" t="s">
        <v>62</v>
      </c>
      <c r="H15" s="303">
        <f>COUNTIF($K$13:$AH$19, "MOG")</f>
        <v>9</v>
      </c>
      <c r="J15" s="168" t="s">
        <v>53</v>
      </c>
      <c r="K15" s="114" t="str">
        <f>WP1c!$F$25</f>
        <v>MSA</v>
      </c>
      <c r="L15" s="91" t="str">
        <f>WP1c!$F$26</f>
        <v>MSA</v>
      </c>
      <c r="M15" s="91" t="str">
        <f>WP1c!$F$27</f>
        <v>MSU</v>
      </c>
      <c r="N15" s="91" t="str">
        <f>WP1c!$F$28</f>
        <v>MSU</v>
      </c>
      <c r="O15" s="91" t="str">
        <f>WP1c!$F$29</f>
        <v>MSA</v>
      </c>
      <c r="P15" s="91" t="str">
        <f>WP1c!$F$30</f>
        <v>MSU</v>
      </c>
      <c r="Q15" s="91" t="str">
        <f>WP1c!$F$31</f>
        <v>MSU</v>
      </c>
      <c r="R15" s="91"/>
      <c r="S15" s="91"/>
      <c r="T15" s="91"/>
      <c r="U15" s="91"/>
      <c r="V15" s="91"/>
      <c r="W15" s="91"/>
      <c r="X15" s="91"/>
      <c r="Y15" s="91"/>
      <c r="Z15" s="91"/>
      <c r="AA15" s="91"/>
      <c r="AB15" s="91"/>
      <c r="AC15" s="91"/>
      <c r="AD15" s="91"/>
      <c r="AE15" s="89"/>
      <c r="AF15" s="89"/>
      <c r="AG15" s="89"/>
      <c r="AH15" s="93"/>
    </row>
    <row r="16" spans="2:53">
      <c r="E16" s="6"/>
      <c r="F16" s="4" t="s">
        <v>38</v>
      </c>
      <c r="G16" s="10" t="s">
        <v>63</v>
      </c>
      <c r="H16" s="303">
        <f>COUNTIF($K$13:$AH$19, "MOD")</f>
        <v>1</v>
      </c>
      <c r="J16" s="168" t="s">
        <v>55</v>
      </c>
      <c r="K16" s="114" t="str">
        <f>'WP2'!$F$55</f>
        <v>MSA</v>
      </c>
      <c r="L16" s="114" t="str">
        <f>'WP2'!$F$56</f>
        <v>MSA</v>
      </c>
      <c r="M16" s="114" t="str">
        <f>'WP2'!$F$57</f>
        <v>MSU</v>
      </c>
      <c r="N16" s="114" t="str">
        <f>'WP2'!$F$58</f>
        <v>MSU</v>
      </c>
      <c r="O16" s="114" t="str">
        <f>'WP2'!$F$59</f>
        <v>MSA</v>
      </c>
      <c r="P16" s="114" t="str">
        <f>'WP2'!$F$60</f>
        <v>MSA</v>
      </c>
      <c r="Q16" s="114" t="str">
        <f>'WP2'!$F$61</f>
        <v>MSU</v>
      </c>
      <c r="R16" s="114" t="str">
        <f>'WP2'!$F$62</f>
        <v>MSU</v>
      </c>
      <c r="S16" s="114" t="str">
        <f>'WP2'!$F$63</f>
        <v>MSA</v>
      </c>
      <c r="T16" s="114" t="str">
        <f>'WP2'!$F$64</f>
        <v>MSA</v>
      </c>
      <c r="U16" s="114" t="str">
        <f>'WP2'!$F$65</f>
        <v>MSU</v>
      </c>
      <c r="V16" s="114" t="str">
        <f>'WP2'!$F$66</f>
        <v>MSU</v>
      </c>
      <c r="W16" s="114" t="str">
        <f>'WP2'!$F$67</f>
        <v>MSA</v>
      </c>
      <c r="X16" s="114" t="str">
        <f>'WP2'!$F$68</f>
        <v>MSA</v>
      </c>
      <c r="Y16" s="114" t="str">
        <f>'WP2'!$F$69</f>
        <v>MSU</v>
      </c>
      <c r="Z16" s="114" t="str">
        <f>'WP2'!$F$70</f>
        <v>MSU</v>
      </c>
      <c r="AA16" s="114" t="str">
        <f>'WP2'!$F$71</f>
        <v>MSA</v>
      </c>
      <c r="AB16" s="28" t="str">
        <f>'WP2'!$F$72</f>
        <v>MSU</v>
      </c>
      <c r="AC16" s="28" t="str">
        <f>'WP2'!$F$73</f>
        <v>MSU</v>
      </c>
      <c r="AD16" s="28" t="str">
        <f>'WP2'!$F$74</f>
        <v>MSU</v>
      </c>
      <c r="AE16" s="28" t="str">
        <f>'WP2'!$F$75</f>
        <v>MSU</v>
      </c>
      <c r="AF16" s="28" t="str">
        <f>'WP2'!$F$76</f>
        <v>MSU</v>
      </c>
      <c r="AG16" s="28" t="str">
        <f>'WP2'!$F$77</f>
        <v>MSU</v>
      </c>
      <c r="AH16" s="28" t="str">
        <f>'WP2'!$F$78</f>
        <v>MSU</v>
      </c>
    </row>
    <row r="17" spans="5:34">
      <c r="E17" s="7"/>
      <c r="F17" s="4" t="s">
        <v>64</v>
      </c>
      <c r="G17" s="10" t="s">
        <v>65</v>
      </c>
      <c r="H17" s="303">
        <f>COUNTIF($K$13:$AH$19, "MSU")</f>
        <v>44</v>
      </c>
      <c r="J17" s="168" t="s">
        <v>57</v>
      </c>
      <c r="K17" s="114" t="str">
        <f>'WP3'!$F$23</f>
        <v>MSA</v>
      </c>
      <c r="L17" s="91" t="str">
        <f>'WP3'!$F$24</f>
        <v>MSA</v>
      </c>
      <c r="M17" s="91" t="str">
        <f>'WP3'!$F$25</f>
        <v>MSU</v>
      </c>
      <c r="N17" s="91" t="str">
        <f>'WP3'!$F$26</f>
        <v>MSU</v>
      </c>
      <c r="O17" s="91" t="str">
        <f>'WP3'!$F$27</f>
        <v>MSU</v>
      </c>
      <c r="P17" s="91" t="str">
        <f>'WP3'!$F$28</f>
        <v>MSU</v>
      </c>
      <c r="Q17" s="92"/>
      <c r="R17" s="92"/>
      <c r="S17" s="92"/>
      <c r="T17" s="92"/>
      <c r="U17" s="92"/>
      <c r="V17" s="92"/>
      <c r="W17" s="92"/>
      <c r="X17" s="92"/>
      <c r="Y17" s="92"/>
      <c r="Z17" s="92"/>
      <c r="AA17" s="92"/>
      <c r="AB17" s="92"/>
      <c r="AC17" s="92"/>
      <c r="AD17" s="92"/>
      <c r="AE17" s="89"/>
      <c r="AF17" s="89"/>
      <c r="AG17" s="89"/>
      <c r="AH17" s="93"/>
    </row>
    <row r="18" spans="5:34">
      <c r="E18" s="332"/>
      <c r="F18" s="333" t="s">
        <v>416</v>
      </c>
      <c r="J18" s="168" t="s">
        <v>58</v>
      </c>
      <c r="K18" s="114" t="str">
        <f>'WP4'!$F$16</f>
        <v>MSA</v>
      </c>
      <c r="L18" s="114" t="str">
        <f>'WP4'!$F$17</f>
        <v>MSA</v>
      </c>
      <c r="M18" s="114" t="str">
        <f>'WP4'!$F$18</f>
        <v>MOG</v>
      </c>
      <c r="N18" s="114" t="str">
        <f>'WP4'!$F$19</f>
        <v>MOG</v>
      </c>
      <c r="O18" s="114" t="str">
        <f>'WP4'!$F$20</f>
        <v>MOG</v>
      </c>
      <c r="P18" s="114" t="str">
        <f>'WP4'!$F$21</f>
        <v>MOG</v>
      </c>
      <c r="Q18" s="114" t="str">
        <f>'WP4'!$F$22</f>
        <v>MSA</v>
      </c>
      <c r="R18" s="114" t="str">
        <f>'WP4'!$F$23</f>
        <v>MOD</v>
      </c>
      <c r="S18" s="114" t="str">
        <f>'WP4'!$F$24</f>
        <v>MOG</v>
      </c>
      <c r="T18" s="114" t="str">
        <f>'WP4'!$F$25</f>
        <v>MSA</v>
      </c>
      <c r="U18" s="114" t="str">
        <f>'WP4'!$F$26</f>
        <v>MOG</v>
      </c>
      <c r="V18" s="114" t="str">
        <f>'WP4'!$F$27</f>
        <v>MOG</v>
      </c>
      <c r="W18" s="114" t="str">
        <f>'WP4'!$F$28</f>
        <v>MOG</v>
      </c>
      <c r="X18" s="114" t="str">
        <f>'WP4'!$F$29</f>
        <v>MOG</v>
      </c>
      <c r="Y18" s="114" t="str">
        <f>'WP4'!$F$30</f>
        <v>MSA</v>
      </c>
      <c r="Z18" s="91"/>
      <c r="AA18" s="91"/>
      <c r="AB18" s="91"/>
      <c r="AC18" s="91"/>
      <c r="AD18" s="91"/>
      <c r="AE18" s="91"/>
      <c r="AF18" s="91"/>
      <c r="AG18" s="91"/>
      <c r="AH18" s="98"/>
    </row>
    <row r="19" spans="5:34">
      <c r="J19" s="169" t="s">
        <v>59</v>
      </c>
      <c r="K19" s="115" t="str">
        <f>'WP5'!$F$19</f>
        <v>MSA</v>
      </c>
      <c r="L19" s="99" t="str">
        <f>'WP5'!$F$20</f>
        <v>MSA</v>
      </c>
      <c r="M19" s="99" t="str">
        <f>'WP5'!$F$21</f>
        <v>MSA</v>
      </c>
      <c r="N19" s="99" t="str">
        <f>'WP5'!$F$22</f>
        <v>MSA</v>
      </c>
      <c r="O19" s="99" t="str">
        <f>'WP5'!$F$23</f>
        <v>MSA</v>
      </c>
      <c r="P19" s="99" t="str">
        <f>'WP5'!$F$24</f>
        <v>MSA</v>
      </c>
      <c r="Q19" s="99" t="str">
        <f>'WP5'!$F$25</f>
        <v>MSA</v>
      </c>
      <c r="R19" s="99" t="str">
        <f>'WP5'!$F$26</f>
        <v>MSA</v>
      </c>
      <c r="S19" s="99" t="str">
        <f>'WP5'!$F$27</f>
        <v>MSU</v>
      </c>
      <c r="T19" s="99" t="str">
        <f>'WP5'!$F$28</f>
        <v>MSU</v>
      </c>
      <c r="U19" s="99" t="str">
        <f>'WP5'!$F$29</f>
        <v>MSU</v>
      </c>
      <c r="V19" s="99" t="str">
        <f>'WP5'!$F$30</f>
        <v>MSA</v>
      </c>
      <c r="W19" s="99" t="str">
        <f>'WP5'!$F$31</f>
        <v>MSA</v>
      </c>
      <c r="X19" s="99" t="str">
        <f>'WP5'!$F$32</f>
        <v>MSA</v>
      </c>
      <c r="Y19" s="99" t="str">
        <f>'WP5'!$F$33</f>
        <v>MSA</v>
      </c>
      <c r="Z19" s="99" t="str">
        <f>'WP5'!$F$34</f>
        <v>MSU</v>
      </c>
      <c r="AA19" s="99" t="str">
        <f>'WP5'!$F$35</f>
        <v>MSU</v>
      </c>
      <c r="AB19" s="99" t="str">
        <f>'WP5'!$F$36</f>
        <v>MSU</v>
      </c>
      <c r="AC19" s="99" t="str">
        <f>'WP5'!$F$37</f>
        <v>MSU</v>
      </c>
      <c r="AD19" s="99"/>
      <c r="AE19" s="96"/>
      <c r="AF19" s="96"/>
      <c r="AG19" s="96"/>
      <c r="AH19" s="97"/>
    </row>
    <row r="20" spans="5:34">
      <c r="E20" s="354" t="s">
        <v>66</v>
      </c>
      <c r="F20" s="355"/>
      <c r="G20" s="355"/>
      <c r="H20" s="355"/>
    </row>
    <row r="21" spans="5:34">
      <c r="E21" s="163" t="s">
        <v>44</v>
      </c>
      <c r="F21" s="163" t="s">
        <v>45</v>
      </c>
      <c r="G21" s="162" t="s">
        <v>46</v>
      </c>
      <c r="H21" s="301" t="s">
        <v>47</v>
      </c>
      <c r="P21" s="27"/>
      <c r="Q21" s="27"/>
      <c r="R21" s="27"/>
      <c r="S21" s="27"/>
      <c r="T21" s="27"/>
      <c r="U21" s="27"/>
      <c r="V21" s="27"/>
      <c r="W21" s="27"/>
      <c r="X21" s="27"/>
      <c r="Y21" s="27"/>
      <c r="Z21" s="27"/>
      <c r="AA21" s="27"/>
      <c r="AB21" s="27"/>
      <c r="AC21" s="27"/>
      <c r="AD21" s="27"/>
      <c r="AE21" s="27"/>
    </row>
    <row r="22" spans="5:34">
      <c r="E22" s="28"/>
      <c r="F22" s="4" t="s">
        <v>67</v>
      </c>
      <c r="G22" s="10" t="s">
        <v>68</v>
      </c>
      <c r="H22" s="303">
        <f>COUNTIF($K$3:$BA$9,"SUS")</f>
        <v>0</v>
      </c>
    </row>
    <row r="23" spans="5:34">
      <c r="E23" s="8"/>
      <c r="F23" s="4" t="s">
        <v>69</v>
      </c>
      <c r="G23" s="10" t="s">
        <v>70</v>
      </c>
      <c r="H23" s="303">
        <f>COUNTIF($K$3:$BA$9,"AWI")</f>
        <v>0</v>
      </c>
      <c r="K23" s="27"/>
      <c r="AD23"/>
    </row>
    <row r="24" spans="5:34">
      <c r="E24" s="29"/>
      <c r="F24" s="4" t="s">
        <v>71</v>
      </c>
      <c r="G24" s="10" t="s">
        <v>72</v>
      </c>
      <c r="H24" s="303">
        <f>COUNTIF($K$3:$BA$9,"-")</f>
        <v>0</v>
      </c>
    </row>
  </sheetData>
  <mergeCells count="3">
    <mergeCell ref="E2:H2"/>
    <mergeCell ref="E20:H20"/>
    <mergeCell ref="E12:H12"/>
  </mergeCells>
  <conditionalFormatting sqref="K4">
    <cfRule type="cellIs" dxfId="570" priority="544" operator="equal">
      <formula>"MNO"</formula>
    </cfRule>
    <cfRule type="cellIs" dxfId="569" priority="577" operator="equal">
      <formula>"MFL"</formula>
    </cfRule>
    <cfRule type="cellIs" dxfId="568" priority="578" operator="equal">
      <formula>"MCT"</formula>
    </cfRule>
    <cfRule type="cellIs" dxfId="567" priority="579" operator="equal">
      <formula>"MOK"</formula>
    </cfRule>
    <cfRule type="cellIs" dxfId="566" priority="580" operator="equal">
      <formula>"AWI"</formula>
    </cfRule>
  </conditionalFormatting>
  <conditionalFormatting sqref="K23">
    <cfRule type="cellIs" dxfId="565" priority="568" operator="equal">
      <formula>"MFL"</formula>
    </cfRule>
    <cfRule type="cellIs" dxfId="564" priority="569" operator="equal">
      <formula>"MCT"</formula>
    </cfRule>
    <cfRule type="cellIs" dxfId="563" priority="570" operator="equal">
      <formula>"MOK"</formula>
    </cfRule>
    <cfRule type="cellIs" dxfId="562" priority="571" operator="equal">
      <formula>"AWI"</formula>
    </cfRule>
  </conditionalFormatting>
  <conditionalFormatting sqref="K14:T14">
    <cfRule type="cellIs" dxfId="561" priority="565" operator="equal">
      <formula>"MSU"</formula>
    </cfRule>
    <cfRule type="cellIs" dxfId="560" priority="566" operator="equal">
      <formula>"MOD"</formula>
    </cfRule>
    <cfRule type="cellIs" dxfId="559" priority="567" operator="equal">
      <formula>"MSA"</formula>
    </cfRule>
  </conditionalFormatting>
  <conditionalFormatting sqref="O7">
    <cfRule type="cellIs" dxfId="558" priority="539" operator="equal">
      <formula>"MNO"</formula>
    </cfRule>
    <cfRule type="cellIs" dxfId="557" priority="540" operator="equal">
      <formula>"MFL"</formula>
    </cfRule>
    <cfRule type="cellIs" dxfId="556" priority="541" operator="equal">
      <formula>"MCT"</formula>
    </cfRule>
    <cfRule type="cellIs" dxfId="555" priority="542" operator="equal">
      <formula>"MOK"</formula>
    </cfRule>
    <cfRule type="cellIs" dxfId="554" priority="543" operator="equal">
      <formula>"AWI"</formula>
    </cfRule>
  </conditionalFormatting>
  <conditionalFormatting sqref="L4:AD4">
    <cfRule type="cellIs" dxfId="553" priority="534" operator="equal">
      <formula>"MNO"</formula>
    </cfRule>
    <cfRule type="cellIs" dxfId="552" priority="535" operator="equal">
      <formula>"MFL"</formula>
    </cfRule>
    <cfRule type="cellIs" dxfId="551" priority="536" operator="equal">
      <formula>"MCT"</formula>
    </cfRule>
    <cfRule type="cellIs" dxfId="550" priority="537" operator="equal">
      <formula>"MOK"</formula>
    </cfRule>
    <cfRule type="cellIs" dxfId="549" priority="538" operator="equal">
      <formula>"AWI"</formula>
    </cfRule>
  </conditionalFormatting>
  <conditionalFormatting sqref="P21:AE21">
    <cfRule type="cellIs" dxfId="548" priority="529" operator="equal">
      <formula>"MNO"</formula>
    </cfRule>
    <cfRule type="cellIs" dxfId="547" priority="530" operator="equal">
      <formula>"MFL"</formula>
    </cfRule>
    <cfRule type="cellIs" dxfId="546" priority="531" operator="equal">
      <formula>"MCT"</formula>
    </cfRule>
    <cfRule type="cellIs" dxfId="545" priority="532" operator="equal">
      <formula>"MOK"</formula>
    </cfRule>
    <cfRule type="cellIs" dxfId="544" priority="533" operator="equal">
      <formula>"AWI"</formula>
    </cfRule>
  </conditionalFormatting>
  <conditionalFormatting sqref="K7:N7">
    <cfRule type="cellIs" dxfId="543" priority="524" operator="equal">
      <formula>"MNO"</formula>
    </cfRule>
    <cfRule type="cellIs" dxfId="542" priority="525" operator="equal">
      <formula>"MFL"</formula>
    </cfRule>
    <cfRule type="cellIs" dxfId="541" priority="526" operator="equal">
      <formula>"MCT"</formula>
    </cfRule>
    <cfRule type="cellIs" dxfId="540" priority="527" operator="equal">
      <formula>"MOK"</formula>
    </cfRule>
    <cfRule type="cellIs" dxfId="539" priority="528" operator="equal">
      <formula>"AWI"</formula>
    </cfRule>
  </conditionalFormatting>
  <conditionalFormatting sqref="K17">
    <cfRule type="cellIs" dxfId="538" priority="521" operator="equal">
      <formula>"MSU"</formula>
    </cfRule>
    <cfRule type="cellIs" dxfId="537" priority="522" operator="equal">
      <formula>"MOD"</formula>
    </cfRule>
    <cfRule type="cellIs" dxfId="536" priority="523" operator="equal">
      <formula>"MSA"</formula>
    </cfRule>
  </conditionalFormatting>
  <conditionalFormatting sqref="L17">
    <cfRule type="cellIs" dxfId="535" priority="518" operator="equal">
      <formula>"MSU"</formula>
    </cfRule>
    <cfRule type="cellIs" dxfId="534" priority="519" operator="equal">
      <formula>"MOD"</formula>
    </cfRule>
    <cfRule type="cellIs" dxfId="533" priority="520" operator="equal">
      <formula>"MSA"</formula>
    </cfRule>
  </conditionalFormatting>
  <conditionalFormatting sqref="M17">
    <cfRule type="cellIs" dxfId="532" priority="515" operator="equal">
      <formula>"MSU"</formula>
    </cfRule>
    <cfRule type="cellIs" dxfId="531" priority="516" operator="equal">
      <formula>"MOD"</formula>
    </cfRule>
    <cfRule type="cellIs" dxfId="530" priority="517" operator="equal">
      <formula>"MSA"</formula>
    </cfRule>
  </conditionalFormatting>
  <conditionalFormatting sqref="N17">
    <cfRule type="cellIs" dxfId="529" priority="512" operator="equal">
      <formula>"MSU"</formula>
    </cfRule>
    <cfRule type="cellIs" dxfId="528" priority="513" operator="equal">
      <formula>"MOD"</formula>
    </cfRule>
    <cfRule type="cellIs" dxfId="527" priority="514" operator="equal">
      <formula>"MSA"</formula>
    </cfRule>
  </conditionalFormatting>
  <conditionalFormatting sqref="O17">
    <cfRule type="cellIs" dxfId="526" priority="509" operator="equal">
      <formula>"MSU"</formula>
    </cfRule>
    <cfRule type="cellIs" dxfId="525" priority="510" operator="equal">
      <formula>"MOD"</formula>
    </cfRule>
    <cfRule type="cellIs" dxfId="524" priority="511" operator="equal">
      <formula>"MSA"</formula>
    </cfRule>
  </conditionalFormatting>
  <conditionalFormatting sqref="P17">
    <cfRule type="cellIs" dxfId="523" priority="506" operator="equal">
      <formula>"MSU"</formula>
    </cfRule>
    <cfRule type="cellIs" dxfId="522" priority="507" operator="equal">
      <formula>"MOD"</formula>
    </cfRule>
    <cfRule type="cellIs" dxfId="521" priority="508" operator="equal">
      <formula>"MSA"</formula>
    </cfRule>
  </conditionalFormatting>
  <conditionalFormatting sqref="K19">
    <cfRule type="cellIs" dxfId="520" priority="503" operator="equal">
      <formula>"MSU"</formula>
    </cfRule>
    <cfRule type="cellIs" dxfId="519" priority="504" operator="equal">
      <formula>"MOD"</formula>
    </cfRule>
    <cfRule type="cellIs" dxfId="518" priority="505" operator="equal">
      <formula>"MSA"</formula>
    </cfRule>
  </conditionalFormatting>
  <conditionalFormatting sqref="L19">
    <cfRule type="cellIs" dxfId="517" priority="491" operator="equal">
      <formula>"MSU"</formula>
    </cfRule>
    <cfRule type="cellIs" dxfId="516" priority="492" operator="equal">
      <formula>"MOD"</formula>
    </cfRule>
    <cfRule type="cellIs" dxfId="515" priority="493" operator="equal">
      <formula>"MSA"</formula>
    </cfRule>
  </conditionalFormatting>
  <conditionalFormatting sqref="N19">
    <cfRule type="cellIs" dxfId="514" priority="488" operator="equal">
      <formula>"MSU"</formula>
    </cfRule>
    <cfRule type="cellIs" dxfId="513" priority="489" operator="equal">
      <formula>"MOD"</formula>
    </cfRule>
    <cfRule type="cellIs" dxfId="512" priority="490" operator="equal">
      <formula>"MSA"</formula>
    </cfRule>
  </conditionalFormatting>
  <conditionalFormatting sqref="M19">
    <cfRule type="cellIs" dxfId="511" priority="485" operator="equal">
      <formula>"MSU"</formula>
    </cfRule>
    <cfRule type="cellIs" dxfId="510" priority="486" operator="equal">
      <formula>"MOD"</formula>
    </cfRule>
    <cfRule type="cellIs" dxfId="509" priority="487" operator="equal">
      <formula>"MSA"</formula>
    </cfRule>
  </conditionalFormatting>
  <conditionalFormatting sqref="O19">
    <cfRule type="cellIs" dxfId="508" priority="482" operator="equal">
      <formula>"MSU"</formula>
    </cfRule>
    <cfRule type="cellIs" dxfId="507" priority="483" operator="equal">
      <formula>"MOD"</formula>
    </cfRule>
    <cfRule type="cellIs" dxfId="506" priority="484" operator="equal">
      <formula>"MSA"</formula>
    </cfRule>
  </conditionalFormatting>
  <conditionalFormatting sqref="P19">
    <cfRule type="cellIs" dxfId="505" priority="479" operator="equal">
      <formula>"MSU"</formula>
    </cfRule>
    <cfRule type="cellIs" dxfId="504" priority="480" operator="equal">
      <formula>"MOD"</formula>
    </cfRule>
    <cfRule type="cellIs" dxfId="503" priority="481" operator="equal">
      <formula>"MSA"</formula>
    </cfRule>
  </conditionalFormatting>
  <conditionalFormatting sqref="Q19">
    <cfRule type="cellIs" dxfId="502" priority="476" operator="equal">
      <formula>"MSU"</formula>
    </cfRule>
    <cfRule type="cellIs" dxfId="501" priority="477" operator="equal">
      <formula>"MOD"</formula>
    </cfRule>
    <cfRule type="cellIs" dxfId="500" priority="478" operator="equal">
      <formula>"MSA"</formula>
    </cfRule>
  </conditionalFormatting>
  <conditionalFormatting sqref="R19">
    <cfRule type="cellIs" dxfId="499" priority="473" operator="equal">
      <formula>"MSU"</formula>
    </cfRule>
    <cfRule type="cellIs" dxfId="498" priority="474" operator="equal">
      <formula>"MOD"</formula>
    </cfRule>
    <cfRule type="cellIs" dxfId="497" priority="475" operator="equal">
      <formula>"MSA"</formula>
    </cfRule>
  </conditionalFormatting>
  <conditionalFormatting sqref="S19">
    <cfRule type="cellIs" dxfId="496" priority="470" operator="equal">
      <formula>"MSU"</formula>
    </cfRule>
    <cfRule type="cellIs" dxfId="495" priority="471" operator="equal">
      <formula>"MOD"</formula>
    </cfRule>
    <cfRule type="cellIs" dxfId="494" priority="472" operator="equal">
      <formula>"MSA"</formula>
    </cfRule>
  </conditionalFormatting>
  <conditionalFormatting sqref="T19">
    <cfRule type="cellIs" dxfId="493" priority="467" operator="equal">
      <formula>"MSU"</formula>
    </cfRule>
    <cfRule type="cellIs" dxfId="492" priority="468" operator="equal">
      <formula>"MOD"</formula>
    </cfRule>
    <cfRule type="cellIs" dxfId="491" priority="469" operator="equal">
      <formula>"MSA"</formula>
    </cfRule>
  </conditionalFormatting>
  <conditionalFormatting sqref="U19">
    <cfRule type="cellIs" dxfId="490" priority="464" operator="equal">
      <formula>"MSU"</formula>
    </cfRule>
    <cfRule type="cellIs" dxfId="489" priority="465" operator="equal">
      <formula>"MOD"</formula>
    </cfRule>
    <cfRule type="cellIs" dxfId="488" priority="466" operator="equal">
      <formula>"MSA"</formula>
    </cfRule>
  </conditionalFormatting>
  <conditionalFormatting sqref="V19">
    <cfRule type="cellIs" dxfId="487" priority="461" operator="equal">
      <formula>"MSU"</formula>
    </cfRule>
    <cfRule type="cellIs" dxfId="486" priority="462" operator="equal">
      <formula>"MOD"</formula>
    </cfRule>
    <cfRule type="cellIs" dxfId="485" priority="463" operator="equal">
      <formula>"MSA"</formula>
    </cfRule>
  </conditionalFormatting>
  <conditionalFormatting sqref="W19">
    <cfRule type="cellIs" dxfId="484" priority="458" operator="equal">
      <formula>"MSU"</formula>
    </cfRule>
    <cfRule type="cellIs" dxfId="483" priority="459" operator="equal">
      <formula>"MOD"</formula>
    </cfRule>
    <cfRule type="cellIs" dxfId="482" priority="460" operator="equal">
      <formula>"MSA"</formula>
    </cfRule>
  </conditionalFormatting>
  <conditionalFormatting sqref="X19">
    <cfRule type="cellIs" dxfId="481" priority="455" operator="equal">
      <formula>"MSU"</formula>
    </cfRule>
    <cfRule type="cellIs" dxfId="480" priority="456" operator="equal">
      <formula>"MOD"</formula>
    </cfRule>
    <cfRule type="cellIs" dxfId="479" priority="457" operator="equal">
      <formula>"MSA"</formula>
    </cfRule>
  </conditionalFormatting>
  <conditionalFormatting sqref="Y19">
    <cfRule type="cellIs" dxfId="478" priority="452" operator="equal">
      <formula>"MSU"</formula>
    </cfRule>
    <cfRule type="cellIs" dxfId="477" priority="453" operator="equal">
      <formula>"MOD"</formula>
    </cfRule>
    <cfRule type="cellIs" dxfId="476" priority="454" operator="equal">
      <formula>"MSA"</formula>
    </cfRule>
  </conditionalFormatting>
  <conditionalFormatting sqref="Z19">
    <cfRule type="cellIs" dxfId="475" priority="449" operator="equal">
      <formula>"MSU"</formula>
    </cfRule>
    <cfRule type="cellIs" dxfId="474" priority="450" operator="equal">
      <formula>"MOD"</formula>
    </cfRule>
    <cfRule type="cellIs" dxfId="473" priority="451" operator="equal">
      <formula>"MSA"</formula>
    </cfRule>
  </conditionalFormatting>
  <conditionalFormatting sqref="AA19">
    <cfRule type="cellIs" dxfId="472" priority="446" operator="equal">
      <formula>"MSU"</formula>
    </cfRule>
    <cfRule type="cellIs" dxfId="471" priority="447" operator="equal">
      <formula>"MOD"</formula>
    </cfRule>
    <cfRule type="cellIs" dxfId="470" priority="448" operator="equal">
      <formula>"MSA"</formula>
    </cfRule>
  </conditionalFormatting>
  <conditionalFormatting sqref="AB19">
    <cfRule type="cellIs" dxfId="469" priority="443" operator="equal">
      <formula>"MSU"</formula>
    </cfRule>
    <cfRule type="cellIs" dxfId="468" priority="444" operator="equal">
      <formula>"MOD"</formula>
    </cfRule>
    <cfRule type="cellIs" dxfId="467" priority="445" operator="equal">
      <formula>"MSA"</formula>
    </cfRule>
  </conditionalFormatting>
  <conditionalFormatting sqref="AC19">
    <cfRule type="cellIs" dxfId="466" priority="440" operator="equal">
      <formula>"MSU"</formula>
    </cfRule>
    <cfRule type="cellIs" dxfId="465" priority="441" operator="equal">
      <formula>"MOD"</formula>
    </cfRule>
    <cfRule type="cellIs" dxfId="464" priority="442" operator="equal">
      <formula>"MSA"</formula>
    </cfRule>
  </conditionalFormatting>
  <conditionalFormatting sqref="K9">
    <cfRule type="cellIs" dxfId="463" priority="435" operator="equal">
      <formula>"MNO"</formula>
    </cfRule>
    <cfRule type="cellIs" dxfId="462" priority="436" operator="equal">
      <formula>"MFL"</formula>
    </cfRule>
    <cfRule type="cellIs" dxfId="461" priority="437" operator="equal">
      <formula>"MCT"</formula>
    </cfRule>
    <cfRule type="cellIs" dxfId="460" priority="438" operator="equal">
      <formula>"MOK"</formula>
    </cfRule>
    <cfRule type="cellIs" dxfId="459" priority="439" operator="equal">
      <formula>"AWI"</formula>
    </cfRule>
  </conditionalFormatting>
  <conditionalFormatting sqref="L9">
    <cfRule type="cellIs" dxfId="458" priority="430" operator="equal">
      <formula>"MNO"</formula>
    </cfRule>
    <cfRule type="cellIs" dxfId="457" priority="431" operator="equal">
      <formula>"MFL"</formula>
    </cfRule>
    <cfRule type="cellIs" dxfId="456" priority="432" operator="equal">
      <formula>"MCT"</formula>
    </cfRule>
    <cfRule type="cellIs" dxfId="455" priority="433" operator="equal">
      <formula>"MOK"</formula>
    </cfRule>
    <cfRule type="cellIs" dxfId="454" priority="434" operator="equal">
      <formula>"AWI"</formula>
    </cfRule>
  </conditionalFormatting>
  <conditionalFormatting sqref="M9">
    <cfRule type="cellIs" dxfId="453" priority="425" operator="equal">
      <formula>"MNO"</formula>
    </cfRule>
    <cfRule type="cellIs" dxfId="452" priority="426" operator="equal">
      <formula>"MFL"</formula>
    </cfRule>
    <cfRule type="cellIs" dxfId="451" priority="427" operator="equal">
      <formula>"MCT"</formula>
    </cfRule>
    <cfRule type="cellIs" dxfId="450" priority="428" operator="equal">
      <formula>"MOK"</formula>
    </cfRule>
    <cfRule type="cellIs" dxfId="449" priority="429" operator="equal">
      <formula>"AWI"</formula>
    </cfRule>
  </conditionalFormatting>
  <conditionalFormatting sqref="N9">
    <cfRule type="cellIs" dxfId="448" priority="420" operator="equal">
      <formula>"MNO"</formula>
    </cfRule>
    <cfRule type="cellIs" dxfId="447" priority="421" operator="equal">
      <formula>"MFL"</formula>
    </cfRule>
    <cfRule type="cellIs" dxfId="446" priority="422" operator="equal">
      <formula>"MCT"</formula>
    </cfRule>
    <cfRule type="cellIs" dxfId="445" priority="423" operator="equal">
      <formula>"MOK"</formula>
    </cfRule>
    <cfRule type="cellIs" dxfId="444" priority="424" operator="equal">
      <formula>"AWI"</formula>
    </cfRule>
  </conditionalFormatting>
  <conditionalFormatting sqref="O9">
    <cfRule type="cellIs" dxfId="443" priority="415" operator="equal">
      <formula>"MNO"</formula>
    </cfRule>
    <cfRule type="cellIs" dxfId="442" priority="416" operator="equal">
      <formula>"MFL"</formula>
    </cfRule>
    <cfRule type="cellIs" dxfId="441" priority="417" operator="equal">
      <formula>"MCT"</formula>
    </cfRule>
    <cfRule type="cellIs" dxfId="440" priority="418" operator="equal">
      <formula>"MOK"</formula>
    </cfRule>
    <cfRule type="cellIs" dxfId="439" priority="419" operator="equal">
      <formula>"AWI"</formula>
    </cfRule>
  </conditionalFormatting>
  <conditionalFormatting sqref="P9">
    <cfRule type="cellIs" dxfId="438" priority="410" operator="equal">
      <formula>"MNO"</formula>
    </cfRule>
    <cfRule type="cellIs" dxfId="437" priority="411" operator="equal">
      <formula>"MFL"</formula>
    </cfRule>
    <cfRule type="cellIs" dxfId="436" priority="412" operator="equal">
      <formula>"MCT"</formula>
    </cfRule>
    <cfRule type="cellIs" dxfId="435" priority="413" operator="equal">
      <formula>"MOK"</formula>
    </cfRule>
    <cfRule type="cellIs" dxfId="434" priority="414" operator="equal">
      <formula>"AWI"</formula>
    </cfRule>
  </conditionalFormatting>
  <conditionalFormatting sqref="Q9">
    <cfRule type="cellIs" dxfId="433" priority="405" operator="equal">
      <formula>"MNO"</formula>
    </cfRule>
    <cfRule type="cellIs" dxfId="432" priority="406" operator="equal">
      <formula>"MFL"</formula>
    </cfRule>
    <cfRule type="cellIs" dxfId="431" priority="407" operator="equal">
      <formula>"MCT"</formula>
    </cfRule>
    <cfRule type="cellIs" dxfId="430" priority="408" operator="equal">
      <formula>"MOK"</formula>
    </cfRule>
    <cfRule type="cellIs" dxfId="429" priority="409" operator="equal">
      <formula>"AWI"</formula>
    </cfRule>
  </conditionalFormatting>
  <conditionalFormatting sqref="S9">
    <cfRule type="cellIs" dxfId="428" priority="395" operator="equal">
      <formula>"MNO"</formula>
    </cfRule>
    <cfRule type="cellIs" dxfId="427" priority="396" operator="equal">
      <formula>"MFL"</formula>
    </cfRule>
    <cfRule type="cellIs" dxfId="426" priority="397" operator="equal">
      <formula>"MCT"</formula>
    </cfRule>
    <cfRule type="cellIs" dxfId="425" priority="398" operator="equal">
      <formula>"MOK"</formula>
    </cfRule>
    <cfRule type="cellIs" dxfId="424" priority="399" operator="equal">
      <formula>"AWI"</formula>
    </cfRule>
  </conditionalFormatting>
  <conditionalFormatting sqref="T9">
    <cfRule type="cellIs" dxfId="423" priority="390" operator="equal">
      <formula>"MNO"</formula>
    </cfRule>
    <cfRule type="cellIs" dxfId="422" priority="391" operator="equal">
      <formula>"MFL"</formula>
    </cfRule>
    <cfRule type="cellIs" dxfId="421" priority="392" operator="equal">
      <formula>"MCT"</formula>
    </cfRule>
    <cfRule type="cellIs" dxfId="420" priority="393" operator="equal">
      <formula>"MOK"</formula>
    </cfRule>
    <cfRule type="cellIs" dxfId="419" priority="394" operator="equal">
      <formula>"AWI"</formula>
    </cfRule>
  </conditionalFormatting>
  <conditionalFormatting sqref="K5">
    <cfRule type="cellIs" dxfId="418" priority="385" operator="equal">
      <formula>"MNO"</formula>
    </cfRule>
    <cfRule type="cellIs" dxfId="417" priority="386" operator="equal">
      <formula>"MFL"</formula>
    </cfRule>
    <cfRule type="cellIs" dxfId="416" priority="387" operator="equal">
      <formula>"MCT"</formula>
    </cfRule>
    <cfRule type="cellIs" dxfId="415" priority="388" operator="equal">
      <formula>"MOK"</formula>
    </cfRule>
    <cfRule type="cellIs" dxfId="414" priority="389" operator="equal">
      <formula>"AWI"</formula>
    </cfRule>
  </conditionalFormatting>
  <conditionalFormatting sqref="L5">
    <cfRule type="cellIs" dxfId="413" priority="380" operator="equal">
      <formula>"MNO"</formula>
    </cfRule>
    <cfRule type="cellIs" dxfId="412" priority="381" operator="equal">
      <formula>"MFL"</formula>
    </cfRule>
    <cfRule type="cellIs" dxfId="411" priority="382" operator="equal">
      <formula>"MCT"</formula>
    </cfRule>
    <cfRule type="cellIs" dxfId="410" priority="383" operator="equal">
      <formula>"MOK"</formula>
    </cfRule>
    <cfRule type="cellIs" dxfId="409" priority="384" operator="equal">
      <formula>"AWI"</formula>
    </cfRule>
  </conditionalFormatting>
  <conditionalFormatting sqref="M5">
    <cfRule type="cellIs" dxfId="408" priority="375" operator="equal">
      <formula>"MNO"</formula>
    </cfRule>
    <cfRule type="cellIs" dxfId="407" priority="376" operator="equal">
      <formula>"MFL"</formula>
    </cfRule>
    <cfRule type="cellIs" dxfId="406" priority="377" operator="equal">
      <formula>"MCT"</formula>
    </cfRule>
    <cfRule type="cellIs" dxfId="405" priority="378" operator="equal">
      <formula>"MOK"</formula>
    </cfRule>
    <cfRule type="cellIs" dxfId="404" priority="379" operator="equal">
      <formula>"AWI"</formula>
    </cfRule>
  </conditionalFormatting>
  <conditionalFormatting sqref="N5">
    <cfRule type="cellIs" dxfId="403" priority="370" operator="equal">
      <formula>"MNO"</formula>
    </cfRule>
    <cfRule type="cellIs" dxfId="402" priority="371" operator="equal">
      <formula>"MFL"</formula>
    </cfRule>
    <cfRule type="cellIs" dxfId="401" priority="372" operator="equal">
      <formula>"MCT"</formula>
    </cfRule>
    <cfRule type="cellIs" dxfId="400" priority="373" operator="equal">
      <formula>"MOK"</formula>
    </cfRule>
    <cfRule type="cellIs" dxfId="399" priority="374" operator="equal">
      <formula>"AWI"</formula>
    </cfRule>
  </conditionalFormatting>
  <conditionalFormatting sqref="O5">
    <cfRule type="cellIs" dxfId="398" priority="365" operator="equal">
      <formula>"MNO"</formula>
    </cfRule>
    <cfRule type="cellIs" dxfId="397" priority="366" operator="equal">
      <formula>"MFL"</formula>
    </cfRule>
    <cfRule type="cellIs" dxfId="396" priority="367" operator="equal">
      <formula>"MCT"</formula>
    </cfRule>
    <cfRule type="cellIs" dxfId="395" priority="368" operator="equal">
      <formula>"MOK"</formula>
    </cfRule>
    <cfRule type="cellIs" dxfId="394" priority="369" operator="equal">
      <formula>"AWI"</formula>
    </cfRule>
  </conditionalFormatting>
  <conditionalFormatting sqref="P5">
    <cfRule type="cellIs" dxfId="393" priority="360" operator="equal">
      <formula>"MNO"</formula>
    </cfRule>
    <cfRule type="cellIs" dxfId="392" priority="361" operator="equal">
      <formula>"MFL"</formula>
    </cfRule>
    <cfRule type="cellIs" dxfId="391" priority="362" operator="equal">
      <formula>"MCT"</formula>
    </cfRule>
    <cfRule type="cellIs" dxfId="390" priority="363" operator="equal">
      <formula>"MOK"</formula>
    </cfRule>
    <cfRule type="cellIs" dxfId="389" priority="364" operator="equal">
      <formula>"AWI"</formula>
    </cfRule>
  </conditionalFormatting>
  <conditionalFormatting sqref="Q5">
    <cfRule type="cellIs" dxfId="388" priority="355" operator="equal">
      <formula>"MNO"</formula>
    </cfRule>
    <cfRule type="cellIs" dxfId="387" priority="356" operator="equal">
      <formula>"MFL"</formula>
    </cfRule>
    <cfRule type="cellIs" dxfId="386" priority="357" operator="equal">
      <formula>"MCT"</formula>
    </cfRule>
    <cfRule type="cellIs" dxfId="385" priority="358" operator="equal">
      <formula>"MOK"</formula>
    </cfRule>
    <cfRule type="cellIs" dxfId="384" priority="359" operator="equal">
      <formula>"AWI"</formula>
    </cfRule>
  </conditionalFormatting>
  <conditionalFormatting sqref="R5">
    <cfRule type="cellIs" dxfId="383" priority="350" operator="equal">
      <formula>"MNO"</formula>
    </cfRule>
    <cfRule type="cellIs" dxfId="382" priority="351" operator="equal">
      <formula>"MFL"</formula>
    </cfRule>
    <cfRule type="cellIs" dxfId="381" priority="352" operator="equal">
      <formula>"MCT"</formula>
    </cfRule>
    <cfRule type="cellIs" dxfId="380" priority="353" operator="equal">
      <formula>"MOK"</formula>
    </cfRule>
    <cfRule type="cellIs" dxfId="379" priority="354" operator="equal">
      <formula>"AWI"</formula>
    </cfRule>
  </conditionalFormatting>
  <conditionalFormatting sqref="S5">
    <cfRule type="cellIs" dxfId="378" priority="345" operator="equal">
      <formula>"MNO"</formula>
    </cfRule>
    <cfRule type="cellIs" dxfId="377" priority="346" operator="equal">
      <formula>"MFL"</formula>
    </cfRule>
    <cfRule type="cellIs" dxfId="376" priority="347" operator="equal">
      <formula>"MCT"</formula>
    </cfRule>
    <cfRule type="cellIs" dxfId="375" priority="348" operator="equal">
      <formula>"MOK"</formula>
    </cfRule>
    <cfRule type="cellIs" dxfId="374" priority="349" operator="equal">
      <formula>"AWI"</formula>
    </cfRule>
  </conditionalFormatting>
  <conditionalFormatting sqref="T5">
    <cfRule type="cellIs" dxfId="373" priority="340" operator="equal">
      <formula>"MNO"</formula>
    </cfRule>
    <cfRule type="cellIs" dxfId="372" priority="341" operator="equal">
      <formula>"MFL"</formula>
    </cfRule>
    <cfRule type="cellIs" dxfId="371" priority="342" operator="equal">
      <formula>"MCT"</formula>
    </cfRule>
    <cfRule type="cellIs" dxfId="370" priority="343" operator="equal">
      <formula>"MOK"</formula>
    </cfRule>
    <cfRule type="cellIs" dxfId="369" priority="344" operator="equal">
      <formula>"AWI"</formula>
    </cfRule>
  </conditionalFormatting>
  <conditionalFormatting sqref="U5">
    <cfRule type="cellIs" dxfId="368" priority="335" operator="equal">
      <formula>"MNO"</formula>
    </cfRule>
    <cfRule type="cellIs" dxfId="367" priority="336" operator="equal">
      <formula>"MFL"</formula>
    </cfRule>
    <cfRule type="cellIs" dxfId="366" priority="337" operator="equal">
      <formula>"MCT"</formula>
    </cfRule>
    <cfRule type="cellIs" dxfId="365" priority="338" operator="equal">
      <formula>"MOK"</formula>
    </cfRule>
    <cfRule type="cellIs" dxfId="364" priority="339" operator="equal">
      <formula>"AWI"</formula>
    </cfRule>
  </conditionalFormatting>
  <conditionalFormatting sqref="V5">
    <cfRule type="cellIs" dxfId="363" priority="330" operator="equal">
      <formula>"MNO"</formula>
    </cfRule>
    <cfRule type="cellIs" dxfId="362" priority="331" operator="equal">
      <formula>"MFL"</formula>
    </cfRule>
    <cfRule type="cellIs" dxfId="361" priority="332" operator="equal">
      <formula>"MCT"</formula>
    </cfRule>
    <cfRule type="cellIs" dxfId="360" priority="333" operator="equal">
      <formula>"MOK"</formula>
    </cfRule>
    <cfRule type="cellIs" dxfId="359" priority="334" operator="equal">
      <formula>"AWI"</formula>
    </cfRule>
  </conditionalFormatting>
  <conditionalFormatting sqref="W5">
    <cfRule type="cellIs" dxfId="358" priority="325" operator="equal">
      <formula>"MNO"</formula>
    </cfRule>
    <cfRule type="cellIs" dxfId="357" priority="326" operator="equal">
      <formula>"MFL"</formula>
    </cfRule>
    <cfRule type="cellIs" dxfId="356" priority="327" operator="equal">
      <formula>"MCT"</formula>
    </cfRule>
    <cfRule type="cellIs" dxfId="355" priority="328" operator="equal">
      <formula>"MOK"</formula>
    </cfRule>
    <cfRule type="cellIs" dxfId="354" priority="329" operator="equal">
      <formula>"AWI"</formula>
    </cfRule>
  </conditionalFormatting>
  <conditionalFormatting sqref="X5">
    <cfRule type="cellIs" dxfId="353" priority="320" operator="equal">
      <formula>"MNO"</formula>
    </cfRule>
    <cfRule type="cellIs" dxfId="352" priority="321" operator="equal">
      <formula>"MFL"</formula>
    </cfRule>
    <cfRule type="cellIs" dxfId="351" priority="322" operator="equal">
      <formula>"MCT"</formula>
    </cfRule>
    <cfRule type="cellIs" dxfId="350" priority="323" operator="equal">
      <formula>"MOK"</formula>
    </cfRule>
    <cfRule type="cellIs" dxfId="349" priority="324" operator="equal">
      <formula>"AWI"</formula>
    </cfRule>
  </conditionalFormatting>
  <conditionalFormatting sqref="Y5">
    <cfRule type="cellIs" dxfId="348" priority="315" operator="equal">
      <formula>"MNO"</formula>
    </cfRule>
    <cfRule type="cellIs" dxfId="347" priority="316" operator="equal">
      <formula>"MFL"</formula>
    </cfRule>
    <cfRule type="cellIs" dxfId="346" priority="317" operator="equal">
      <formula>"MCT"</formula>
    </cfRule>
    <cfRule type="cellIs" dxfId="345" priority="318" operator="equal">
      <formula>"MOK"</formula>
    </cfRule>
    <cfRule type="cellIs" dxfId="344" priority="319" operator="equal">
      <formula>"AWI"</formula>
    </cfRule>
  </conditionalFormatting>
  <conditionalFormatting sqref="K15">
    <cfRule type="cellIs" dxfId="343" priority="306" operator="equal">
      <formula>"MSU"</formula>
    </cfRule>
    <cfRule type="cellIs" dxfId="342" priority="307" operator="equal">
      <formula>"MOD"</formula>
    </cfRule>
    <cfRule type="cellIs" dxfId="341" priority="308" operator="equal">
      <formula>"MSA"</formula>
    </cfRule>
  </conditionalFormatting>
  <conditionalFormatting sqref="Q15">
    <cfRule type="cellIs" dxfId="340" priority="285" operator="equal">
      <formula>"MSU"</formula>
    </cfRule>
    <cfRule type="cellIs" dxfId="339" priority="286" operator="equal">
      <formula>"MOD"</formula>
    </cfRule>
    <cfRule type="cellIs" dxfId="338" priority="287" operator="equal">
      <formula>"MSA"</formula>
    </cfRule>
  </conditionalFormatting>
  <conditionalFormatting sqref="L15">
    <cfRule type="cellIs" dxfId="337" priority="300" operator="equal">
      <formula>"MSU"</formula>
    </cfRule>
    <cfRule type="cellIs" dxfId="336" priority="301" operator="equal">
      <formula>"MOD"</formula>
    </cfRule>
    <cfRule type="cellIs" dxfId="335" priority="302" operator="equal">
      <formula>"MSA"</formula>
    </cfRule>
  </conditionalFormatting>
  <conditionalFormatting sqref="M15">
    <cfRule type="cellIs" dxfId="334" priority="297" operator="equal">
      <formula>"MSU"</formula>
    </cfRule>
    <cfRule type="cellIs" dxfId="333" priority="298" operator="equal">
      <formula>"MOD"</formula>
    </cfRule>
    <cfRule type="cellIs" dxfId="332" priority="299" operator="equal">
      <formula>"MSA"</formula>
    </cfRule>
  </conditionalFormatting>
  <conditionalFormatting sqref="N15">
    <cfRule type="cellIs" dxfId="331" priority="294" operator="equal">
      <formula>"MSU"</formula>
    </cfRule>
    <cfRule type="cellIs" dxfId="330" priority="295" operator="equal">
      <formula>"MOD"</formula>
    </cfRule>
    <cfRule type="cellIs" dxfId="329" priority="296" operator="equal">
      <formula>"MSA"</formula>
    </cfRule>
  </conditionalFormatting>
  <conditionalFormatting sqref="O15">
    <cfRule type="cellIs" dxfId="328" priority="291" operator="equal">
      <formula>"MSU"</formula>
    </cfRule>
    <cfRule type="cellIs" dxfId="327" priority="292" operator="equal">
      <formula>"MOD"</formula>
    </cfRule>
    <cfRule type="cellIs" dxfId="326" priority="293" operator="equal">
      <formula>"MSA"</formula>
    </cfRule>
  </conditionalFormatting>
  <conditionalFormatting sqref="P15">
    <cfRule type="cellIs" dxfId="325" priority="288" operator="equal">
      <formula>"MSU"</formula>
    </cfRule>
    <cfRule type="cellIs" dxfId="324" priority="289" operator="equal">
      <formula>"MOD"</formula>
    </cfRule>
    <cfRule type="cellIs" dxfId="323" priority="290" operator="equal">
      <formula>"MSA"</formula>
    </cfRule>
  </conditionalFormatting>
  <conditionalFormatting sqref="K3:AN3">
    <cfRule type="cellIs" dxfId="322" priority="275" operator="equal">
      <formula>"MNO"</formula>
    </cfRule>
    <cfRule type="cellIs" dxfId="321" priority="276" operator="equal">
      <formula>"MFL"</formula>
    </cfRule>
    <cfRule type="cellIs" dxfId="320" priority="277" operator="equal">
      <formula>"MCT"</formula>
    </cfRule>
    <cfRule type="cellIs" dxfId="319" priority="278" operator="equal">
      <formula>"MOK"</formula>
    </cfRule>
    <cfRule type="cellIs" dxfId="318" priority="279" operator="equal">
      <formula>"AWI"</formula>
    </cfRule>
  </conditionalFormatting>
  <conditionalFormatting sqref="K13:AB13">
    <cfRule type="cellIs" dxfId="317" priority="272" operator="equal">
      <formula>"MSU"</formula>
    </cfRule>
    <cfRule type="cellIs" dxfId="316" priority="273" operator="equal">
      <formula>"MOD"</formula>
    </cfRule>
    <cfRule type="cellIs" dxfId="315" priority="274" operator="equal">
      <formula>"MSA"</formula>
    </cfRule>
  </conditionalFormatting>
  <conditionalFormatting sqref="K6:AS6">
    <cfRule type="cellIs" dxfId="314" priority="267" operator="equal">
      <formula>"MNO"</formula>
    </cfRule>
    <cfRule type="cellIs" dxfId="313" priority="268" operator="equal">
      <formula>"MFL"</formula>
    </cfRule>
    <cfRule type="cellIs" dxfId="312" priority="269" operator="equal">
      <formula>"MCT"</formula>
    </cfRule>
    <cfRule type="cellIs" dxfId="311" priority="270" operator="equal">
      <formula>"MOK"</formula>
    </cfRule>
    <cfRule type="cellIs" dxfId="310" priority="271" operator="equal">
      <formula>"AWI"</formula>
    </cfRule>
  </conditionalFormatting>
  <conditionalFormatting sqref="K18">
    <cfRule type="cellIs" dxfId="309" priority="264" operator="equal">
      <formula>"MSU"</formula>
    </cfRule>
    <cfRule type="cellIs" dxfId="308" priority="265" operator="equal">
      <formula>"MOD"</formula>
    </cfRule>
    <cfRule type="cellIs" dxfId="307" priority="266" operator="equal">
      <formula>"MSA"</formula>
    </cfRule>
  </conditionalFormatting>
  <conditionalFormatting sqref="Z18:AH18">
    <cfRule type="cellIs" dxfId="306" priority="240" operator="equal">
      <formula>"MSU"</formula>
    </cfRule>
    <cfRule type="cellIs" dxfId="305" priority="241" operator="equal">
      <formula>"MOD"</formula>
    </cfRule>
    <cfRule type="cellIs" dxfId="304" priority="242" operator="equal">
      <formula>"MSA"</formula>
    </cfRule>
  </conditionalFormatting>
  <conditionalFormatting sqref="AT6">
    <cfRule type="cellIs" dxfId="303" priority="235" operator="equal">
      <formula>"MNO"</formula>
    </cfRule>
    <cfRule type="cellIs" dxfId="302" priority="236" operator="equal">
      <formula>"MFL"</formula>
    </cfRule>
    <cfRule type="cellIs" dxfId="301" priority="237" operator="equal">
      <formula>"MCT"</formula>
    </cfRule>
    <cfRule type="cellIs" dxfId="300" priority="238" operator="equal">
      <formula>"MOK"</formula>
    </cfRule>
    <cfRule type="cellIs" dxfId="299" priority="239" operator="equal">
      <formula>"AWI"</formula>
    </cfRule>
  </conditionalFormatting>
  <conditionalFormatting sqref="AU6">
    <cfRule type="cellIs" dxfId="298" priority="230" operator="equal">
      <formula>"MNO"</formula>
    </cfRule>
    <cfRule type="cellIs" dxfId="297" priority="231" operator="equal">
      <formula>"MFL"</formula>
    </cfRule>
    <cfRule type="cellIs" dxfId="296" priority="232" operator="equal">
      <formula>"MCT"</formula>
    </cfRule>
    <cfRule type="cellIs" dxfId="295" priority="233" operator="equal">
      <formula>"MOK"</formula>
    </cfRule>
    <cfRule type="cellIs" dxfId="294" priority="234" operator="equal">
      <formula>"AWI"</formula>
    </cfRule>
  </conditionalFormatting>
  <conditionalFormatting sqref="AV6">
    <cfRule type="cellIs" dxfId="293" priority="225" operator="equal">
      <formula>"MNO"</formula>
    </cfRule>
    <cfRule type="cellIs" dxfId="292" priority="226" operator="equal">
      <formula>"MFL"</formula>
    </cfRule>
    <cfRule type="cellIs" dxfId="291" priority="227" operator="equal">
      <formula>"MCT"</formula>
    </cfRule>
    <cfRule type="cellIs" dxfId="290" priority="228" operator="equal">
      <formula>"MOK"</formula>
    </cfRule>
    <cfRule type="cellIs" dxfId="289" priority="229" operator="equal">
      <formula>"AWI"</formula>
    </cfRule>
  </conditionalFormatting>
  <conditionalFormatting sqref="AW6">
    <cfRule type="cellIs" dxfId="288" priority="220" operator="equal">
      <formula>"MNO"</formula>
    </cfRule>
    <cfRule type="cellIs" dxfId="287" priority="221" operator="equal">
      <formula>"MFL"</formula>
    </cfRule>
    <cfRule type="cellIs" dxfId="286" priority="222" operator="equal">
      <formula>"MCT"</formula>
    </cfRule>
    <cfRule type="cellIs" dxfId="285" priority="223" operator="equal">
      <formula>"MOK"</formula>
    </cfRule>
    <cfRule type="cellIs" dxfId="284" priority="224" operator="equal">
      <formula>"AWI"</formula>
    </cfRule>
  </conditionalFormatting>
  <conditionalFormatting sqref="AX6">
    <cfRule type="cellIs" dxfId="283" priority="215" operator="equal">
      <formula>"MNO"</formula>
    </cfRule>
    <cfRule type="cellIs" dxfId="282" priority="216" operator="equal">
      <formula>"MFL"</formula>
    </cfRule>
    <cfRule type="cellIs" dxfId="281" priority="217" operator="equal">
      <formula>"MCT"</formula>
    </cfRule>
    <cfRule type="cellIs" dxfId="280" priority="218" operator="equal">
      <formula>"MOK"</formula>
    </cfRule>
    <cfRule type="cellIs" dxfId="279" priority="219" operator="equal">
      <formula>"AWI"</formula>
    </cfRule>
  </conditionalFormatting>
  <conditionalFormatting sqref="AY6">
    <cfRule type="cellIs" dxfId="278" priority="210" operator="equal">
      <formula>"MNO"</formula>
    </cfRule>
    <cfRule type="cellIs" dxfId="277" priority="211" operator="equal">
      <formula>"MFL"</formula>
    </cfRule>
    <cfRule type="cellIs" dxfId="276" priority="212" operator="equal">
      <formula>"MCT"</formula>
    </cfRule>
    <cfRule type="cellIs" dxfId="275" priority="213" operator="equal">
      <formula>"MOK"</formula>
    </cfRule>
    <cfRule type="cellIs" dxfId="274" priority="214" operator="equal">
      <formula>"AWI"</formula>
    </cfRule>
  </conditionalFormatting>
  <conditionalFormatting sqref="AZ6">
    <cfRule type="cellIs" dxfId="273" priority="205" operator="equal">
      <formula>"MNO"</formula>
    </cfRule>
    <cfRule type="cellIs" dxfId="272" priority="206" operator="equal">
      <formula>"MFL"</formula>
    </cfRule>
    <cfRule type="cellIs" dxfId="271" priority="207" operator="equal">
      <formula>"MCT"</formula>
    </cfRule>
    <cfRule type="cellIs" dxfId="270" priority="208" operator="equal">
      <formula>"MOK"</formula>
    </cfRule>
    <cfRule type="cellIs" dxfId="269" priority="209" operator="equal">
      <formula>"AWI"</formula>
    </cfRule>
  </conditionalFormatting>
  <conditionalFormatting sqref="BA6">
    <cfRule type="cellIs" dxfId="268" priority="200" operator="equal">
      <formula>"MNO"</formula>
    </cfRule>
    <cfRule type="cellIs" dxfId="267" priority="201" operator="equal">
      <formula>"MFL"</formula>
    </cfRule>
    <cfRule type="cellIs" dxfId="266" priority="202" operator="equal">
      <formula>"MCT"</formula>
    </cfRule>
    <cfRule type="cellIs" dxfId="265" priority="203" operator="equal">
      <formula>"MOK"</formula>
    </cfRule>
    <cfRule type="cellIs" dxfId="264" priority="204" operator="equal">
      <formula>"AWI"</formula>
    </cfRule>
  </conditionalFormatting>
  <conditionalFormatting sqref="AO3:AQ3">
    <cfRule type="cellIs" dxfId="263" priority="190" operator="equal">
      <formula>"MNO"</formula>
    </cfRule>
    <cfRule type="cellIs" dxfId="262" priority="191" operator="equal">
      <formula>"MFL"</formula>
    </cfRule>
    <cfRule type="cellIs" dxfId="261" priority="192" operator="equal">
      <formula>"MCT"</formula>
    </cfRule>
    <cfRule type="cellIs" dxfId="260" priority="193" operator="equal">
      <formula>"MOK"</formula>
    </cfRule>
    <cfRule type="cellIs" dxfId="259" priority="194" operator="equal">
      <formula>"AWI"</formula>
    </cfRule>
  </conditionalFormatting>
  <conditionalFormatting sqref="R9">
    <cfRule type="cellIs" dxfId="258" priority="185" operator="equal">
      <formula>"MNO"</formula>
    </cfRule>
    <cfRule type="cellIs" dxfId="257" priority="186" operator="equal">
      <formula>"MFL"</formula>
    </cfRule>
    <cfRule type="cellIs" dxfId="256" priority="187" operator="equal">
      <formula>"MCT"</formula>
    </cfRule>
    <cfRule type="cellIs" dxfId="255" priority="188" operator="equal">
      <formula>"MOK"</formula>
    </cfRule>
    <cfRule type="cellIs" dxfId="254" priority="189" operator="equal">
      <formula>"AWI"</formula>
    </cfRule>
  </conditionalFormatting>
  <conditionalFormatting sqref="K16">
    <cfRule type="cellIs" dxfId="253" priority="182" operator="equal">
      <formula>"MSU"</formula>
    </cfRule>
    <cfRule type="cellIs" dxfId="252" priority="183" operator="equal">
      <formula>"MOD"</formula>
    </cfRule>
    <cfRule type="cellIs" dxfId="251" priority="184" operator="equal">
      <formula>"MSA"</formula>
    </cfRule>
  </conditionalFormatting>
  <conditionalFormatting sqref="L16">
    <cfRule type="cellIs" dxfId="250" priority="179" operator="equal">
      <formula>"MSU"</formula>
    </cfRule>
    <cfRule type="cellIs" dxfId="249" priority="180" operator="equal">
      <formula>"MOD"</formula>
    </cfRule>
    <cfRule type="cellIs" dxfId="248" priority="181" operator="equal">
      <formula>"MSA"</formula>
    </cfRule>
  </conditionalFormatting>
  <conditionalFormatting sqref="M16">
    <cfRule type="cellIs" dxfId="247" priority="176" operator="equal">
      <formula>"MSU"</formula>
    </cfRule>
    <cfRule type="cellIs" dxfId="246" priority="177" operator="equal">
      <formula>"MOD"</formula>
    </cfRule>
    <cfRule type="cellIs" dxfId="245" priority="178" operator="equal">
      <formula>"MSA"</formula>
    </cfRule>
  </conditionalFormatting>
  <conditionalFormatting sqref="N16">
    <cfRule type="cellIs" dxfId="244" priority="173" operator="equal">
      <formula>"MSU"</formula>
    </cfRule>
    <cfRule type="cellIs" dxfId="243" priority="174" operator="equal">
      <formula>"MOD"</formula>
    </cfRule>
    <cfRule type="cellIs" dxfId="242" priority="175" operator="equal">
      <formula>"MSA"</formula>
    </cfRule>
  </conditionalFormatting>
  <conditionalFormatting sqref="O16">
    <cfRule type="cellIs" dxfId="241" priority="170" operator="equal">
      <formula>"MSU"</formula>
    </cfRule>
    <cfRule type="cellIs" dxfId="240" priority="171" operator="equal">
      <formula>"MOD"</formula>
    </cfRule>
    <cfRule type="cellIs" dxfId="239" priority="172" operator="equal">
      <formula>"MSA"</formula>
    </cfRule>
  </conditionalFormatting>
  <conditionalFormatting sqref="P16">
    <cfRule type="cellIs" dxfId="238" priority="167" operator="equal">
      <formula>"MSU"</formula>
    </cfRule>
    <cfRule type="cellIs" dxfId="237" priority="168" operator="equal">
      <formula>"MOD"</formula>
    </cfRule>
    <cfRule type="cellIs" dxfId="236" priority="169" operator="equal">
      <formula>"MSA"</formula>
    </cfRule>
  </conditionalFormatting>
  <conditionalFormatting sqref="Q16">
    <cfRule type="cellIs" dxfId="235" priority="164" operator="equal">
      <formula>"MSU"</formula>
    </cfRule>
    <cfRule type="cellIs" dxfId="234" priority="165" operator="equal">
      <formula>"MOD"</formula>
    </cfRule>
    <cfRule type="cellIs" dxfId="233" priority="166" operator="equal">
      <formula>"MSA"</formula>
    </cfRule>
  </conditionalFormatting>
  <conditionalFormatting sqref="R16">
    <cfRule type="cellIs" dxfId="232" priority="161" operator="equal">
      <formula>"MSU"</formula>
    </cfRule>
    <cfRule type="cellIs" dxfId="231" priority="162" operator="equal">
      <formula>"MOD"</formula>
    </cfRule>
    <cfRule type="cellIs" dxfId="230" priority="163" operator="equal">
      <formula>"MSA"</formula>
    </cfRule>
  </conditionalFormatting>
  <conditionalFormatting sqref="S16">
    <cfRule type="cellIs" dxfId="229" priority="158" operator="equal">
      <formula>"MSU"</formula>
    </cfRule>
    <cfRule type="cellIs" dxfId="228" priority="159" operator="equal">
      <formula>"MOD"</formula>
    </cfRule>
    <cfRule type="cellIs" dxfId="227" priority="160" operator="equal">
      <formula>"MSA"</formula>
    </cfRule>
  </conditionalFormatting>
  <conditionalFormatting sqref="T16">
    <cfRule type="cellIs" dxfId="226" priority="155" operator="equal">
      <formula>"MSU"</formula>
    </cfRule>
    <cfRule type="cellIs" dxfId="225" priority="156" operator="equal">
      <formula>"MOD"</formula>
    </cfRule>
    <cfRule type="cellIs" dxfId="224" priority="157" operator="equal">
      <formula>"MSA"</formula>
    </cfRule>
  </conditionalFormatting>
  <conditionalFormatting sqref="U16">
    <cfRule type="cellIs" dxfId="223" priority="152" operator="equal">
      <formula>"MSU"</formula>
    </cfRule>
    <cfRule type="cellIs" dxfId="222" priority="153" operator="equal">
      <formula>"MOD"</formula>
    </cfRule>
    <cfRule type="cellIs" dxfId="221" priority="154" operator="equal">
      <formula>"MSA"</formula>
    </cfRule>
  </conditionalFormatting>
  <conditionalFormatting sqref="V16">
    <cfRule type="cellIs" dxfId="220" priority="149" operator="equal">
      <formula>"MSU"</formula>
    </cfRule>
    <cfRule type="cellIs" dxfId="219" priority="150" operator="equal">
      <formula>"MOD"</formula>
    </cfRule>
    <cfRule type="cellIs" dxfId="218" priority="151" operator="equal">
      <formula>"MSA"</formula>
    </cfRule>
  </conditionalFormatting>
  <conditionalFormatting sqref="W16">
    <cfRule type="cellIs" dxfId="217" priority="146" operator="equal">
      <formula>"MSU"</formula>
    </cfRule>
    <cfRule type="cellIs" dxfId="216" priority="147" operator="equal">
      <formula>"MOD"</formula>
    </cfRule>
    <cfRule type="cellIs" dxfId="215" priority="148" operator="equal">
      <formula>"MSA"</formula>
    </cfRule>
  </conditionalFormatting>
  <conditionalFormatting sqref="X16">
    <cfRule type="cellIs" dxfId="214" priority="143" operator="equal">
      <formula>"MSU"</formula>
    </cfRule>
    <cfRule type="cellIs" dxfId="213" priority="144" operator="equal">
      <formula>"MOD"</formula>
    </cfRule>
    <cfRule type="cellIs" dxfId="212" priority="145" operator="equal">
      <formula>"MSA"</formula>
    </cfRule>
  </conditionalFormatting>
  <conditionalFormatting sqref="Y16">
    <cfRule type="cellIs" dxfId="211" priority="140" operator="equal">
      <formula>"MSU"</formula>
    </cfRule>
    <cfRule type="cellIs" dxfId="210" priority="141" operator="equal">
      <formula>"MOD"</formula>
    </cfRule>
    <cfRule type="cellIs" dxfId="209" priority="142" operator="equal">
      <formula>"MSA"</formula>
    </cfRule>
  </conditionalFormatting>
  <conditionalFormatting sqref="Z16">
    <cfRule type="cellIs" dxfId="208" priority="137" operator="equal">
      <formula>"MSU"</formula>
    </cfRule>
    <cfRule type="cellIs" dxfId="207" priority="138" operator="equal">
      <formula>"MOD"</formula>
    </cfRule>
    <cfRule type="cellIs" dxfId="206" priority="139" operator="equal">
      <formula>"MSA"</formula>
    </cfRule>
  </conditionalFormatting>
  <conditionalFormatting sqref="AA16">
    <cfRule type="cellIs" dxfId="205" priority="134" operator="equal">
      <formula>"MSU"</formula>
    </cfRule>
    <cfRule type="cellIs" dxfId="204" priority="135" operator="equal">
      <formula>"MOD"</formula>
    </cfRule>
    <cfRule type="cellIs" dxfId="203" priority="136" operator="equal">
      <formula>"MSA"</formula>
    </cfRule>
  </conditionalFormatting>
  <conditionalFormatting sqref="K8">
    <cfRule type="cellIs" dxfId="202" priority="108" operator="equal">
      <formula>"MNO"</formula>
    </cfRule>
    <cfRule type="cellIs" dxfId="201" priority="109" operator="equal">
      <formula>"MFL"</formula>
    </cfRule>
    <cfRule type="cellIs" dxfId="200" priority="110" operator="equal">
      <formula>"MCT"</formula>
    </cfRule>
    <cfRule type="cellIs" dxfId="199" priority="111" operator="equal">
      <formula>"MOK"</formula>
    </cfRule>
    <cfRule type="cellIs" dxfId="198" priority="112" operator="equal">
      <formula>"AWI"</formula>
    </cfRule>
  </conditionalFormatting>
  <conditionalFormatting sqref="P7">
    <cfRule type="cellIs" dxfId="197" priority="103" operator="equal">
      <formula>"MNO"</formula>
    </cfRule>
    <cfRule type="cellIs" dxfId="196" priority="104" operator="equal">
      <formula>"MFL"</formula>
    </cfRule>
    <cfRule type="cellIs" dxfId="195" priority="105" operator="equal">
      <formula>"MCT"</formula>
    </cfRule>
    <cfRule type="cellIs" dxfId="194" priority="106" operator="equal">
      <formula>"MOK"</formula>
    </cfRule>
    <cfRule type="cellIs" dxfId="193" priority="107" operator="equal">
      <formula>"AWI"</formula>
    </cfRule>
  </conditionalFormatting>
  <conditionalFormatting sqref="Q7">
    <cfRule type="cellIs" dxfId="192" priority="98" operator="equal">
      <formula>"MNO"</formula>
    </cfRule>
    <cfRule type="cellIs" dxfId="191" priority="99" operator="equal">
      <formula>"MFL"</formula>
    </cfRule>
    <cfRule type="cellIs" dxfId="190" priority="100" operator="equal">
      <formula>"MCT"</formula>
    </cfRule>
    <cfRule type="cellIs" dxfId="189" priority="101" operator="equal">
      <formula>"MOK"</formula>
    </cfRule>
    <cfRule type="cellIs" dxfId="188" priority="102" operator="equal">
      <formula>"AWI"</formula>
    </cfRule>
  </conditionalFormatting>
  <conditionalFormatting sqref="R7">
    <cfRule type="cellIs" dxfId="187" priority="93" operator="equal">
      <formula>"MNO"</formula>
    </cfRule>
    <cfRule type="cellIs" dxfId="186" priority="94" operator="equal">
      <formula>"MFL"</formula>
    </cfRule>
    <cfRule type="cellIs" dxfId="185" priority="95" operator="equal">
      <formula>"MCT"</formula>
    </cfRule>
    <cfRule type="cellIs" dxfId="184" priority="96" operator="equal">
      <formula>"MOK"</formula>
    </cfRule>
    <cfRule type="cellIs" dxfId="183" priority="97" operator="equal">
      <formula>"AWI"</formula>
    </cfRule>
  </conditionalFormatting>
  <conditionalFormatting sqref="S7">
    <cfRule type="cellIs" dxfId="182" priority="88" operator="equal">
      <formula>"MNO"</formula>
    </cfRule>
    <cfRule type="cellIs" dxfId="181" priority="89" operator="equal">
      <formula>"MFL"</formula>
    </cfRule>
    <cfRule type="cellIs" dxfId="180" priority="90" operator="equal">
      <formula>"MCT"</formula>
    </cfRule>
    <cfRule type="cellIs" dxfId="179" priority="91" operator="equal">
      <formula>"MOK"</formula>
    </cfRule>
    <cfRule type="cellIs" dxfId="178" priority="92" operator="equal">
      <formula>"AWI"</formula>
    </cfRule>
  </conditionalFormatting>
  <conditionalFormatting sqref="T7">
    <cfRule type="cellIs" dxfId="177" priority="83" operator="equal">
      <formula>"MNO"</formula>
    </cfRule>
    <cfRule type="cellIs" dxfId="176" priority="84" operator="equal">
      <formula>"MFL"</formula>
    </cfRule>
    <cfRule type="cellIs" dxfId="175" priority="85" operator="equal">
      <formula>"MCT"</formula>
    </cfRule>
    <cfRule type="cellIs" dxfId="174" priority="86" operator="equal">
      <formula>"MOK"</formula>
    </cfRule>
    <cfRule type="cellIs" dxfId="173" priority="87" operator="equal">
      <formula>"AWI"</formula>
    </cfRule>
  </conditionalFormatting>
  <conditionalFormatting sqref="U7">
    <cfRule type="cellIs" dxfId="172" priority="78" operator="equal">
      <formula>"MNO"</formula>
    </cfRule>
    <cfRule type="cellIs" dxfId="171" priority="79" operator="equal">
      <formula>"MFL"</formula>
    </cfRule>
    <cfRule type="cellIs" dxfId="170" priority="80" operator="equal">
      <formula>"MCT"</formula>
    </cfRule>
    <cfRule type="cellIs" dxfId="169" priority="81" operator="equal">
      <formula>"MOK"</formula>
    </cfRule>
    <cfRule type="cellIs" dxfId="168" priority="82" operator="equal">
      <formula>"AWI"</formula>
    </cfRule>
  </conditionalFormatting>
  <conditionalFormatting sqref="V7">
    <cfRule type="cellIs" dxfId="167" priority="73" operator="equal">
      <formula>"MNO"</formula>
    </cfRule>
    <cfRule type="cellIs" dxfId="166" priority="74" operator="equal">
      <formula>"MFL"</formula>
    </cfRule>
    <cfRule type="cellIs" dxfId="165" priority="75" operator="equal">
      <formula>"MCT"</formula>
    </cfRule>
    <cfRule type="cellIs" dxfId="164" priority="76" operator="equal">
      <formula>"MOK"</formula>
    </cfRule>
    <cfRule type="cellIs" dxfId="163" priority="77" operator="equal">
      <formula>"AWI"</formula>
    </cfRule>
  </conditionalFormatting>
  <conditionalFormatting sqref="W7:X7">
    <cfRule type="cellIs" dxfId="162" priority="68" operator="equal">
      <formula>"MNO"</formula>
    </cfRule>
    <cfRule type="cellIs" dxfId="161" priority="69" operator="equal">
      <formula>"MFL"</formula>
    </cfRule>
    <cfRule type="cellIs" dxfId="160" priority="70" operator="equal">
      <formula>"MCT"</formula>
    </cfRule>
    <cfRule type="cellIs" dxfId="159" priority="71" operator="equal">
      <formula>"MOK"</formula>
    </cfRule>
    <cfRule type="cellIs" dxfId="158" priority="72" operator="equal">
      <formula>"AWI"</formula>
    </cfRule>
  </conditionalFormatting>
  <conditionalFormatting sqref="L8">
    <cfRule type="cellIs" dxfId="157" priority="63" operator="equal">
      <formula>"MNO"</formula>
    </cfRule>
    <cfRule type="cellIs" dxfId="156" priority="64" operator="equal">
      <formula>"MFL"</formula>
    </cfRule>
    <cfRule type="cellIs" dxfId="155" priority="65" operator="equal">
      <formula>"MCT"</formula>
    </cfRule>
    <cfRule type="cellIs" dxfId="154" priority="66" operator="equal">
      <formula>"MOK"</formula>
    </cfRule>
    <cfRule type="cellIs" dxfId="153" priority="67" operator="equal">
      <formula>"AWI"</formula>
    </cfRule>
  </conditionalFormatting>
  <conditionalFormatting sqref="M8">
    <cfRule type="cellIs" dxfId="152" priority="58" operator="equal">
      <formula>"MNO"</formula>
    </cfRule>
    <cfRule type="cellIs" dxfId="151" priority="59" operator="equal">
      <formula>"MFL"</formula>
    </cfRule>
    <cfRule type="cellIs" dxfId="150" priority="60" operator="equal">
      <formula>"MCT"</formula>
    </cfRule>
    <cfRule type="cellIs" dxfId="149" priority="61" operator="equal">
      <formula>"MOK"</formula>
    </cfRule>
    <cfRule type="cellIs" dxfId="148" priority="62" operator="equal">
      <formula>"AWI"</formula>
    </cfRule>
  </conditionalFormatting>
  <conditionalFormatting sqref="N8">
    <cfRule type="cellIs" dxfId="147" priority="53" operator="equal">
      <formula>"MNO"</formula>
    </cfRule>
    <cfRule type="cellIs" dxfId="146" priority="54" operator="equal">
      <formula>"MFL"</formula>
    </cfRule>
    <cfRule type="cellIs" dxfId="145" priority="55" operator="equal">
      <formula>"MCT"</formula>
    </cfRule>
    <cfRule type="cellIs" dxfId="144" priority="56" operator="equal">
      <formula>"MOK"</formula>
    </cfRule>
    <cfRule type="cellIs" dxfId="143" priority="57" operator="equal">
      <formula>"AWI"</formula>
    </cfRule>
  </conditionalFormatting>
  <conditionalFormatting sqref="O8">
    <cfRule type="cellIs" dxfId="142" priority="48" operator="equal">
      <formula>"MNO"</formula>
    </cfRule>
    <cfRule type="cellIs" dxfId="141" priority="49" operator="equal">
      <formula>"MFL"</formula>
    </cfRule>
    <cfRule type="cellIs" dxfId="140" priority="50" operator="equal">
      <formula>"MCT"</formula>
    </cfRule>
    <cfRule type="cellIs" dxfId="139" priority="51" operator="equal">
      <formula>"MOK"</formula>
    </cfRule>
    <cfRule type="cellIs" dxfId="138" priority="52" operator="equal">
      <formula>"AWI"</formula>
    </cfRule>
  </conditionalFormatting>
  <conditionalFormatting sqref="P8">
    <cfRule type="cellIs" dxfId="137" priority="43" operator="equal">
      <formula>"MNO"</formula>
    </cfRule>
    <cfRule type="cellIs" dxfId="136" priority="44" operator="equal">
      <formula>"MFL"</formula>
    </cfRule>
    <cfRule type="cellIs" dxfId="135" priority="45" operator="equal">
      <formula>"MCT"</formula>
    </cfRule>
    <cfRule type="cellIs" dxfId="134" priority="46" operator="equal">
      <formula>"MOK"</formula>
    </cfRule>
    <cfRule type="cellIs" dxfId="133" priority="47" operator="equal">
      <formula>"AWI"</formula>
    </cfRule>
  </conditionalFormatting>
  <conditionalFormatting sqref="L18">
    <cfRule type="cellIs" dxfId="132" priority="40" operator="equal">
      <formula>"MSU"</formula>
    </cfRule>
    <cfRule type="cellIs" dxfId="131" priority="41" operator="equal">
      <formula>"MOD"</formula>
    </cfRule>
    <cfRule type="cellIs" dxfId="130" priority="42" operator="equal">
      <formula>"MSA"</formula>
    </cfRule>
  </conditionalFormatting>
  <conditionalFormatting sqref="M18">
    <cfRule type="cellIs" dxfId="129" priority="37" operator="equal">
      <formula>"MSU"</formula>
    </cfRule>
    <cfRule type="cellIs" dxfId="128" priority="38" operator="equal">
      <formula>"MOD"</formula>
    </cfRule>
    <cfRule type="cellIs" dxfId="127" priority="39" operator="equal">
      <formula>"MSA"</formula>
    </cfRule>
  </conditionalFormatting>
  <conditionalFormatting sqref="N18">
    <cfRule type="cellIs" dxfId="126" priority="34" operator="equal">
      <formula>"MSU"</formula>
    </cfRule>
    <cfRule type="cellIs" dxfId="125" priority="35" operator="equal">
      <formula>"MOD"</formula>
    </cfRule>
    <cfRule type="cellIs" dxfId="124" priority="36" operator="equal">
      <formula>"MSA"</formula>
    </cfRule>
  </conditionalFormatting>
  <conditionalFormatting sqref="O18">
    <cfRule type="cellIs" dxfId="123" priority="31" operator="equal">
      <formula>"MSU"</formula>
    </cfRule>
    <cfRule type="cellIs" dxfId="122" priority="32" operator="equal">
      <formula>"MOD"</formula>
    </cfRule>
    <cfRule type="cellIs" dxfId="121" priority="33" operator="equal">
      <formula>"MSA"</formula>
    </cfRule>
  </conditionalFormatting>
  <conditionalFormatting sqref="P18">
    <cfRule type="cellIs" dxfId="120" priority="28" operator="equal">
      <formula>"MSU"</formula>
    </cfRule>
    <cfRule type="cellIs" dxfId="119" priority="29" operator="equal">
      <formula>"MOD"</formula>
    </cfRule>
    <cfRule type="cellIs" dxfId="118" priority="30" operator="equal">
      <formula>"MSA"</formula>
    </cfRule>
  </conditionalFormatting>
  <conditionalFormatting sqref="Q18">
    <cfRule type="cellIs" dxfId="117" priority="25" operator="equal">
      <formula>"MSU"</formula>
    </cfRule>
    <cfRule type="cellIs" dxfId="116" priority="26" operator="equal">
      <formula>"MOD"</formula>
    </cfRule>
    <cfRule type="cellIs" dxfId="115" priority="27" operator="equal">
      <formula>"MSA"</formula>
    </cfRule>
  </conditionalFormatting>
  <conditionalFormatting sqref="R18">
    <cfRule type="cellIs" dxfId="114" priority="22" operator="equal">
      <formula>"MSU"</formula>
    </cfRule>
    <cfRule type="cellIs" dxfId="113" priority="23" operator="equal">
      <formula>"MOD"</formula>
    </cfRule>
    <cfRule type="cellIs" dxfId="112" priority="24" operator="equal">
      <formula>"MSA"</formula>
    </cfRule>
  </conditionalFormatting>
  <conditionalFormatting sqref="S18">
    <cfRule type="cellIs" dxfId="111" priority="19" operator="equal">
      <formula>"MSU"</formula>
    </cfRule>
    <cfRule type="cellIs" dxfId="110" priority="20" operator="equal">
      <formula>"MOD"</formula>
    </cfRule>
    <cfRule type="cellIs" dxfId="109" priority="21" operator="equal">
      <formula>"MSA"</formula>
    </cfRule>
  </conditionalFormatting>
  <conditionalFormatting sqref="T18">
    <cfRule type="cellIs" dxfId="108" priority="16" operator="equal">
      <formula>"MSU"</formula>
    </cfRule>
    <cfRule type="cellIs" dxfId="107" priority="17" operator="equal">
      <formula>"MOD"</formula>
    </cfRule>
    <cfRule type="cellIs" dxfId="106" priority="18" operator="equal">
      <formula>"MSA"</formula>
    </cfRule>
  </conditionalFormatting>
  <conditionalFormatting sqref="U18">
    <cfRule type="cellIs" dxfId="105" priority="13" operator="equal">
      <formula>"MSU"</formula>
    </cfRule>
    <cfRule type="cellIs" dxfId="104" priority="14" operator="equal">
      <formula>"MOD"</formula>
    </cfRule>
    <cfRule type="cellIs" dxfId="103" priority="15" operator="equal">
      <formula>"MSA"</formula>
    </cfRule>
  </conditionalFormatting>
  <conditionalFormatting sqref="V18">
    <cfRule type="cellIs" dxfId="102" priority="10" operator="equal">
      <formula>"MSU"</formula>
    </cfRule>
    <cfRule type="cellIs" dxfId="101" priority="11" operator="equal">
      <formula>"MOD"</formula>
    </cfRule>
    <cfRule type="cellIs" dxfId="100" priority="12" operator="equal">
      <formula>"MSA"</formula>
    </cfRule>
  </conditionalFormatting>
  <conditionalFormatting sqref="W18">
    <cfRule type="cellIs" dxfId="99" priority="7" operator="equal">
      <formula>"MSU"</formula>
    </cfRule>
    <cfRule type="cellIs" dxfId="98" priority="8" operator="equal">
      <formula>"MOD"</formula>
    </cfRule>
    <cfRule type="cellIs" dxfId="97" priority="9" operator="equal">
      <formula>"MSA"</formula>
    </cfRule>
  </conditionalFormatting>
  <conditionalFormatting sqref="X18">
    <cfRule type="cellIs" dxfId="96" priority="4" operator="equal">
      <formula>"MSU"</formula>
    </cfRule>
    <cfRule type="cellIs" dxfId="95" priority="5" operator="equal">
      <formula>"MOD"</formula>
    </cfRule>
    <cfRule type="cellIs" dxfId="94" priority="6" operator="equal">
      <formula>"MSA"</formula>
    </cfRule>
  </conditionalFormatting>
  <conditionalFormatting sqref="Y18">
    <cfRule type="cellIs" dxfId="93" priority="1" operator="equal">
      <formula>"MSU"</formula>
    </cfRule>
    <cfRule type="cellIs" dxfId="92" priority="2" operator="equal">
      <formula>"MOD"</formula>
    </cfRule>
    <cfRule type="cellIs" dxfId="91" priority="3" operator="equal">
      <formula>"MSA"</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8E394-1063-48AF-87F1-627BD327CB00}">
  <dimension ref="B2:R60"/>
  <sheetViews>
    <sheetView topLeftCell="A25" workbookViewId="0">
      <selection activeCell="M16" sqref="M16"/>
    </sheetView>
  </sheetViews>
  <sheetFormatPr defaultRowHeight="15"/>
  <cols>
    <col min="2" max="2" width="5.42578125" style="2" customWidth="1"/>
    <col min="3" max="3" width="11.140625" style="2" customWidth="1"/>
    <col min="4" max="4" width="7" style="2" customWidth="1"/>
    <col min="5" max="5" width="9.28515625" style="2" customWidth="1"/>
    <col min="6" max="6" width="7.140625" style="2" customWidth="1"/>
    <col min="7" max="7" width="54" style="1" customWidth="1"/>
    <col min="8" max="8" width="39" style="1" customWidth="1"/>
    <col min="9" max="9" width="11.42578125" style="2" customWidth="1"/>
    <col min="10" max="10" width="12.5703125" style="2" customWidth="1"/>
    <col min="11" max="11" width="24.140625" style="2" customWidth="1"/>
    <col min="12" max="12" width="9.140625" style="2" customWidth="1"/>
    <col min="13" max="13" width="79.85546875" style="2" customWidth="1"/>
    <col min="14" max="18" width="8.85546875" style="2"/>
  </cols>
  <sheetData>
    <row r="2" spans="2:13">
      <c r="B2" s="341" t="s">
        <v>73</v>
      </c>
      <c r="C2" s="341"/>
      <c r="D2" s="341"/>
      <c r="E2" s="10" t="s">
        <v>74</v>
      </c>
      <c r="F2" s="162" t="s">
        <v>75</v>
      </c>
      <c r="G2" s="20" t="s">
        <v>76</v>
      </c>
    </row>
    <row r="4" spans="2:13">
      <c r="B4" s="347" t="s">
        <v>7</v>
      </c>
      <c r="C4" s="348"/>
      <c r="D4" s="348"/>
      <c r="E4" s="348"/>
      <c r="F4" s="348"/>
      <c r="G4" s="348"/>
      <c r="H4" s="348"/>
      <c r="I4" s="348"/>
      <c r="J4" s="348"/>
      <c r="K4" s="348"/>
      <c r="L4" s="348"/>
      <c r="M4" s="349"/>
    </row>
    <row r="5" spans="2:13">
      <c r="B5" s="170" t="s">
        <v>77</v>
      </c>
      <c r="C5" s="162" t="s">
        <v>78</v>
      </c>
      <c r="D5" s="162" t="s">
        <v>79</v>
      </c>
      <c r="E5" s="162" t="s">
        <v>80</v>
      </c>
      <c r="F5" s="162" t="s">
        <v>81</v>
      </c>
      <c r="G5" s="171" t="s">
        <v>45</v>
      </c>
      <c r="H5" s="171" t="s">
        <v>82</v>
      </c>
      <c r="I5" s="162" t="s">
        <v>83</v>
      </c>
      <c r="J5" s="162" t="s">
        <v>84</v>
      </c>
      <c r="K5" s="162" t="s">
        <v>85</v>
      </c>
      <c r="L5" s="172" t="s">
        <v>86</v>
      </c>
      <c r="M5" s="172" t="s">
        <v>87</v>
      </c>
    </row>
    <row r="6" spans="2:13">
      <c r="B6" s="57">
        <v>1</v>
      </c>
      <c r="C6" s="279">
        <v>1</v>
      </c>
      <c r="D6" s="281">
        <v>0.05</v>
      </c>
      <c r="E6" s="334">
        <v>1.1100000000000001</v>
      </c>
      <c r="F6" s="10" t="str">
        <f t="shared" ref="F6:F37" si="0">_xlfn.IFS(ISBLANK(E6), "AWI", C6&lt;=E6,"MOK",(C6-D6)&lt;=E6,"MCT",C6&gt;E6,"MFL")</f>
        <v>MOK</v>
      </c>
      <c r="G6" s="21" t="s">
        <v>88</v>
      </c>
      <c r="H6" s="21" t="s">
        <v>89</v>
      </c>
      <c r="I6" s="15" t="s">
        <v>90</v>
      </c>
      <c r="J6" s="15" t="s">
        <v>91</v>
      </c>
      <c r="K6" s="15" t="s">
        <v>8</v>
      </c>
      <c r="L6" s="58" t="s">
        <v>92</v>
      </c>
      <c r="M6" s="316"/>
    </row>
    <row r="7" spans="2:13">
      <c r="B7" s="57">
        <v>2</v>
      </c>
      <c r="C7" s="279">
        <v>1</v>
      </c>
      <c r="D7" s="281">
        <v>0.05</v>
      </c>
      <c r="E7" s="334">
        <v>1.1200000000000001</v>
      </c>
      <c r="F7" s="10" t="str">
        <f t="shared" si="0"/>
        <v>MOK</v>
      </c>
      <c r="G7" s="21" t="s">
        <v>93</v>
      </c>
      <c r="H7" s="21" t="s">
        <v>89</v>
      </c>
      <c r="I7" s="15" t="s">
        <v>90</v>
      </c>
      <c r="J7" s="15" t="s">
        <v>91</v>
      </c>
      <c r="K7" s="15" t="s">
        <v>8</v>
      </c>
      <c r="L7" s="58" t="s">
        <v>92</v>
      </c>
      <c r="M7" s="310"/>
    </row>
    <row r="8" spans="2:13">
      <c r="B8" s="57">
        <v>3</v>
      </c>
      <c r="C8" s="279">
        <v>1</v>
      </c>
      <c r="D8" s="281">
        <v>0.05</v>
      </c>
      <c r="E8" s="334">
        <v>1.07</v>
      </c>
      <c r="F8" s="10" t="str">
        <f t="shared" si="0"/>
        <v>MOK</v>
      </c>
      <c r="G8" s="21" t="s">
        <v>94</v>
      </c>
      <c r="H8" s="21" t="s">
        <v>89</v>
      </c>
      <c r="I8" s="15" t="s">
        <v>90</v>
      </c>
      <c r="J8" s="15" t="s">
        <v>91</v>
      </c>
      <c r="K8" s="15" t="s">
        <v>8</v>
      </c>
      <c r="L8" s="58" t="s">
        <v>92</v>
      </c>
      <c r="M8" s="316"/>
    </row>
    <row r="9" spans="2:13">
      <c r="B9" s="57">
        <v>4</v>
      </c>
      <c r="C9" s="279">
        <v>0.94</v>
      </c>
      <c r="D9" s="281">
        <v>0.05</v>
      </c>
      <c r="E9" s="334">
        <f>15.8/15.5</f>
        <v>1.0193548387096774</v>
      </c>
      <c r="F9" s="10" t="str">
        <f t="shared" si="0"/>
        <v>MOK</v>
      </c>
      <c r="G9" s="21" t="s">
        <v>95</v>
      </c>
      <c r="H9" s="72" t="s">
        <v>96</v>
      </c>
      <c r="I9" s="12" t="s">
        <v>97</v>
      </c>
      <c r="J9" s="15" t="s">
        <v>91</v>
      </c>
      <c r="K9" s="15" t="s">
        <v>98</v>
      </c>
      <c r="L9" s="58" t="s">
        <v>92</v>
      </c>
      <c r="M9" s="207"/>
    </row>
    <row r="10" spans="2:13">
      <c r="B10" s="57">
        <v>5</v>
      </c>
      <c r="C10" s="279">
        <v>0.98</v>
      </c>
      <c r="D10" s="281">
        <v>0.03</v>
      </c>
      <c r="E10" s="334">
        <f>(0.97+1+0.98)/3</f>
        <v>0.98333333333333339</v>
      </c>
      <c r="F10" s="10" t="str">
        <f t="shared" si="0"/>
        <v>MOK</v>
      </c>
      <c r="G10" s="21" t="s">
        <v>99</v>
      </c>
      <c r="H10" s="21" t="s">
        <v>100</v>
      </c>
      <c r="I10" s="15" t="s">
        <v>97</v>
      </c>
      <c r="J10" s="15" t="s">
        <v>101</v>
      </c>
      <c r="K10" s="15" t="s">
        <v>15</v>
      </c>
      <c r="L10" s="58" t="s">
        <v>92</v>
      </c>
      <c r="M10" s="316"/>
    </row>
    <row r="11" spans="2:13">
      <c r="B11" s="57">
        <v>6</v>
      </c>
      <c r="C11" s="279">
        <v>0.98</v>
      </c>
      <c r="D11" s="281">
        <v>0.03</v>
      </c>
      <c r="E11" s="334">
        <f>(1+1+0.98)/3</f>
        <v>0.99333333333333329</v>
      </c>
      <c r="F11" s="10" t="str">
        <f t="shared" si="0"/>
        <v>MOK</v>
      </c>
      <c r="G11" s="21" t="s">
        <v>102</v>
      </c>
      <c r="H11" s="21" t="s">
        <v>100</v>
      </c>
      <c r="I11" s="15" t="s">
        <v>97</v>
      </c>
      <c r="J11" s="15" t="s">
        <v>101</v>
      </c>
      <c r="K11" s="15" t="s">
        <v>15</v>
      </c>
      <c r="L11" s="58" t="s">
        <v>92</v>
      </c>
      <c r="M11" s="316"/>
    </row>
    <row r="12" spans="2:13">
      <c r="B12" s="57">
        <v>7</v>
      </c>
      <c r="C12" s="279">
        <v>0.98</v>
      </c>
      <c r="D12" s="281">
        <v>0.03</v>
      </c>
      <c r="E12" s="334">
        <f>(0.89+0.91+0.94)/3</f>
        <v>0.91333333333333344</v>
      </c>
      <c r="F12" s="10" t="str">
        <f t="shared" si="0"/>
        <v>MFL</v>
      </c>
      <c r="G12" s="21" t="s">
        <v>103</v>
      </c>
      <c r="H12" s="21" t="s">
        <v>100</v>
      </c>
      <c r="I12" s="15" t="s">
        <v>97</v>
      </c>
      <c r="J12" s="15" t="s">
        <v>101</v>
      </c>
      <c r="K12" s="15" t="s">
        <v>15</v>
      </c>
      <c r="L12" s="58" t="s">
        <v>92</v>
      </c>
      <c r="M12" s="310" t="s">
        <v>451</v>
      </c>
    </row>
    <row r="13" spans="2:13">
      <c r="B13" s="57">
        <v>8</v>
      </c>
      <c r="C13" s="279">
        <v>0.98</v>
      </c>
      <c r="D13" s="281">
        <v>0.03</v>
      </c>
      <c r="E13" s="334">
        <f>(1+1+0.98)/3</f>
        <v>0.99333333333333329</v>
      </c>
      <c r="F13" s="10" t="str">
        <f t="shared" si="0"/>
        <v>MOK</v>
      </c>
      <c r="G13" s="21" t="s">
        <v>104</v>
      </c>
      <c r="H13" s="21" t="s">
        <v>100</v>
      </c>
      <c r="I13" s="15" t="s">
        <v>97</v>
      </c>
      <c r="J13" s="15" t="s">
        <v>101</v>
      </c>
      <c r="K13" s="15" t="s">
        <v>15</v>
      </c>
      <c r="L13" s="58" t="s">
        <v>92</v>
      </c>
      <c r="M13" s="316"/>
    </row>
    <row r="14" spans="2:13">
      <c r="B14" s="57">
        <v>9</v>
      </c>
      <c r="C14" s="279">
        <v>0.9</v>
      </c>
      <c r="D14" s="281">
        <v>0.1</v>
      </c>
      <c r="E14" s="334">
        <f>161527/192557</f>
        <v>0.83885291108606808</v>
      </c>
      <c r="F14" s="10" t="str">
        <f t="shared" si="0"/>
        <v>MCT</v>
      </c>
      <c r="G14" s="21" t="s">
        <v>105</v>
      </c>
      <c r="H14" s="21" t="s">
        <v>89</v>
      </c>
      <c r="I14" s="15" t="s">
        <v>90</v>
      </c>
      <c r="J14" s="15" t="s">
        <v>91</v>
      </c>
      <c r="K14" s="15" t="s">
        <v>8</v>
      </c>
      <c r="L14" s="58" t="s">
        <v>92</v>
      </c>
      <c r="M14" s="310"/>
    </row>
    <row r="15" spans="2:13" ht="30">
      <c r="B15" s="57">
        <v>10</v>
      </c>
      <c r="C15" s="279">
        <v>0.8</v>
      </c>
      <c r="D15" s="281">
        <v>0.1</v>
      </c>
      <c r="E15" s="334">
        <f>17625516296594000/17182000000000000</f>
        <v>1.0258128446393902</v>
      </c>
      <c r="F15" s="10" t="str">
        <f t="shared" si="0"/>
        <v>MOK</v>
      </c>
      <c r="G15" s="21" t="s">
        <v>106</v>
      </c>
      <c r="H15" s="21" t="s">
        <v>89</v>
      </c>
      <c r="I15" s="15" t="s">
        <v>90</v>
      </c>
      <c r="J15" s="15" t="s">
        <v>91</v>
      </c>
      <c r="K15" s="15" t="s">
        <v>8</v>
      </c>
      <c r="L15" s="58" t="s">
        <v>92</v>
      </c>
      <c r="M15" s="310" t="s">
        <v>452</v>
      </c>
    </row>
    <row r="16" spans="2:13">
      <c r="B16" s="57">
        <v>11</v>
      </c>
      <c r="C16" s="279">
        <v>0.8</v>
      </c>
      <c r="D16" s="281">
        <v>0.1</v>
      </c>
      <c r="E16" s="334">
        <f>37854/40289</f>
        <v>0.9395616669562411</v>
      </c>
      <c r="F16" s="10" t="str">
        <f t="shared" si="0"/>
        <v>MOK</v>
      </c>
      <c r="G16" s="21" t="s">
        <v>107</v>
      </c>
      <c r="H16" s="21" t="s">
        <v>89</v>
      </c>
      <c r="I16" s="15" t="s">
        <v>90</v>
      </c>
      <c r="J16" s="15" t="s">
        <v>91</v>
      </c>
      <c r="K16" s="15" t="s">
        <v>8</v>
      </c>
      <c r="L16" s="58" t="s">
        <v>92</v>
      </c>
      <c r="M16" s="316"/>
    </row>
    <row r="17" spans="2:13">
      <c r="B17" s="57">
        <v>12</v>
      </c>
      <c r="C17" s="279">
        <v>0.9</v>
      </c>
      <c r="D17" s="281">
        <v>0.1</v>
      </c>
      <c r="E17" s="334">
        <f>93887/52000</f>
        <v>1.8055192307692307</v>
      </c>
      <c r="F17" s="10" t="str">
        <f t="shared" si="0"/>
        <v>MOK</v>
      </c>
      <c r="G17" s="21" t="s">
        <v>108</v>
      </c>
      <c r="H17" s="21" t="s">
        <v>89</v>
      </c>
      <c r="I17" s="15" t="s">
        <v>90</v>
      </c>
      <c r="J17" s="15" t="s">
        <v>91</v>
      </c>
      <c r="K17" s="15" t="s">
        <v>8</v>
      </c>
      <c r="L17" s="58" t="s">
        <v>92</v>
      </c>
      <c r="M17" s="316"/>
    </row>
    <row r="18" spans="2:13">
      <c r="B18" s="57">
        <v>13</v>
      </c>
      <c r="C18" s="279">
        <v>0.8</v>
      </c>
      <c r="D18" s="281">
        <v>0.1</v>
      </c>
      <c r="E18" s="334">
        <f>4809123695211730/5440000000000000</f>
        <v>0.88403009103156804</v>
      </c>
      <c r="F18" s="10" t="str">
        <f t="shared" si="0"/>
        <v>MOK</v>
      </c>
      <c r="G18" s="21" t="s">
        <v>109</v>
      </c>
      <c r="H18" s="21" t="s">
        <v>89</v>
      </c>
      <c r="I18" s="15" t="s">
        <v>90</v>
      </c>
      <c r="J18" s="15" t="s">
        <v>91</v>
      </c>
      <c r="K18" s="15" t="s">
        <v>8</v>
      </c>
      <c r="L18" s="58" t="s">
        <v>92</v>
      </c>
      <c r="M18" s="316"/>
    </row>
    <row r="19" spans="2:13">
      <c r="B19" s="57">
        <v>14</v>
      </c>
      <c r="C19" s="279">
        <v>0.8</v>
      </c>
      <c r="D19" s="281">
        <v>0.1</v>
      </c>
      <c r="E19" s="334">
        <f>14665/17600</f>
        <v>0.83323863636363638</v>
      </c>
      <c r="F19" s="10" t="str">
        <f t="shared" si="0"/>
        <v>MOK</v>
      </c>
      <c r="G19" s="21" t="s">
        <v>110</v>
      </c>
      <c r="H19" s="21" t="s">
        <v>89</v>
      </c>
      <c r="I19" s="15" t="s">
        <v>90</v>
      </c>
      <c r="J19" s="15" t="s">
        <v>91</v>
      </c>
      <c r="K19" s="15" t="s">
        <v>8</v>
      </c>
      <c r="L19" s="58" t="s">
        <v>92</v>
      </c>
      <c r="M19" s="316"/>
    </row>
    <row r="20" spans="2:13">
      <c r="B20" s="57">
        <v>15</v>
      </c>
      <c r="C20" s="279">
        <v>0.9</v>
      </c>
      <c r="D20" s="281">
        <v>0.1</v>
      </c>
      <c r="E20" s="334">
        <f>188174/146665</f>
        <v>1.283019125217332</v>
      </c>
      <c r="F20" s="10" t="str">
        <f t="shared" si="0"/>
        <v>MOK</v>
      </c>
      <c r="G20" s="21" t="s">
        <v>111</v>
      </c>
      <c r="H20" s="21" t="s">
        <v>89</v>
      </c>
      <c r="I20" s="15" t="s">
        <v>90</v>
      </c>
      <c r="J20" s="15" t="s">
        <v>91</v>
      </c>
      <c r="K20" s="15" t="s">
        <v>8</v>
      </c>
      <c r="L20" s="58" t="s">
        <v>92</v>
      </c>
      <c r="M20" s="310"/>
    </row>
    <row r="21" spans="2:13">
      <c r="B21" s="57">
        <v>16</v>
      </c>
      <c r="C21" s="279">
        <v>0.8</v>
      </c>
      <c r="D21" s="281">
        <v>0.1</v>
      </c>
      <c r="E21" s="334">
        <f>7130832412676420/12474000000000000</f>
        <v>0.5716556367385297</v>
      </c>
      <c r="F21" s="10" t="str">
        <f t="shared" si="0"/>
        <v>MFL</v>
      </c>
      <c r="G21" s="21" t="s">
        <v>112</v>
      </c>
      <c r="H21" s="21" t="s">
        <v>89</v>
      </c>
      <c r="I21" s="15" t="s">
        <v>90</v>
      </c>
      <c r="J21" s="15" t="s">
        <v>91</v>
      </c>
      <c r="K21" s="15" t="s">
        <v>8</v>
      </c>
      <c r="L21" s="58" t="s">
        <v>92</v>
      </c>
      <c r="M21" s="316" t="s">
        <v>453</v>
      </c>
    </row>
    <row r="22" spans="2:13">
      <c r="B22" s="57">
        <v>17</v>
      </c>
      <c r="C22" s="279">
        <v>0.8</v>
      </c>
      <c r="D22" s="281">
        <v>0.1</v>
      </c>
      <c r="E22" s="334">
        <f>13690/32776</f>
        <v>0.41768367097876496</v>
      </c>
      <c r="F22" s="10" t="str">
        <f t="shared" si="0"/>
        <v>MFL</v>
      </c>
      <c r="G22" s="21" t="s">
        <v>113</v>
      </c>
      <c r="H22" s="21" t="s">
        <v>89</v>
      </c>
      <c r="I22" s="15" t="s">
        <v>90</v>
      </c>
      <c r="J22" s="15" t="s">
        <v>91</v>
      </c>
      <c r="K22" s="15" t="s">
        <v>8</v>
      </c>
      <c r="L22" s="58" t="s">
        <v>92</v>
      </c>
      <c r="M22" s="316" t="s">
        <v>454</v>
      </c>
    </row>
    <row r="23" spans="2:13">
      <c r="B23" s="57">
        <v>18</v>
      </c>
      <c r="C23" s="279">
        <v>0.9</v>
      </c>
      <c r="D23" s="281">
        <v>0.2</v>
      </c>
      <c r="E23" s="334">
        <f>15657/14903</f>
        <v>1.0505938401664094</v>
      </c>
      <c r="F23" s="10" t="str">
        <f t="shared" si="0"/>
        <v>MOK</v>
      </c>
      <c r="G23" s="21" t="s">
        <v>114</v>
      </c>
      <c r="H23" s="21" t="s">
        <v>89</v>
      </c>
      <c r="I23" s="15" t="s">
        <v>90</v>
      </c>
      <c r="J23" s="15" t="s">
        <v>91</v>
      </c>
      <c r="K23" s="15" t="s">
        <v>8</v>
      </c>
      <c r="L23" s="58" t="s">
        <v>92</v>
      </c>
      <c r="M23" s="310"/>
    </row>
    <row r="24" spans="2:13">
      <c r="B24" s="57">
        <v>19</v>
      </c>
      <c r="C24" s="279">
        <v>0.8</v>
      </c>
      <c r="D24" s="281">
        <v>0.2</v>
      </c>
      <c r="E24" s="334">
        <f>651334075587767/1646000000000000</f>
        <v>0.39570721481638338</v>
      </c>
      <c r="F24" s="10" t="str">
        <f t="shared" si="0"/>
        <v>MFL</v>
      </c>
      <c r="G24" s="21" t="s">
        <v>115</v>
      </c>
      <c r="H24" s="21" t="s">
        <v>89</v>
      </c>
      <c r="I24" s="15" t="s">
        <v>90</v>
      </c>
      <c r="J24" s="15" t="s">
        <v>91</v>
      </c>
      <c r="K24" s="15" t="s">
        <v>8</v>
      </c>
      <c r="L24" s="58" t="s">
        <v>92</v>
      </c>
      <c r="M24" s="310" t="s">
        <v>455</v>
      </c>
    </row>
    <row r="25" spans="2:13">
      <c r="B25" s="57">
        <v>20</v>
      </c>
      <c r="C25" s="279">
        <v>0.8</v>
      </c>
      <c r="D25" s="281">
        <v>0.2</v>
      </c>
      <c r="E25" s="334">
        <f>882/1885</f>
        <v>0.4679045092838196</v>
      </c>
      <c r="F25" s="10" t="str">
        <f t="shared" si="0"/>
        <v>MFL</v>
      </c>
      <c r="G25" s="21" t="s">
        <v>116</v>
      </c>
      <c r="H25" s="21" t="s">
        <v>89</v>
      </c>
      <c r="I25" s="15" t="s">
        <v>90</v>
      </c>
      <c r="J25" s="15" t="s">
        <v>91</v>
      </c>
      <c r="K25" s="15" t="s">
        <v>8</v>
      </c>
      <c r="L25" s="58" t="s">
        <v>92</v>
      </c>
      <c r="M25" s="316" t="s">
        <v>439</v>
      </c>
    </row>
    <row r="26" spans="2:13">
      <c r="B26" s="57">
        <v>21</v>
      </c>
      <c r="C26" s="279">
        <v>0.4</v>
      </c>
      <c r="D26" s="281">
        <v>0.3</v>
      </c>
      <c r="E26" s="334">
        <f>7347/52796</f>
        <v>0.13915826956587621</v>
      </c>
      <c r="F26" s="10" t="str">
        <f t="shared" si="0"/>
        <v>MCT</v>
      </c>
      <c r="G26" s="21" t="s">
        <v>117</v>
      </c>
      <c r="H26" s="21" t="s">
        <v>118</v>
      </c>
      <c r="I26" s="15" t="s">
        <v>90</v>
      </c>
      <c r="J26" s="15" t="s">
        <v>91</v>
      </c>
      <c r="K26" s="15" t="s">
        <v>8</v>
      </c>
      <c r="L26" s="58" t="s">
        <v>92</v>
      </c>
      <c r="M26" s="316"/>
    </row>
    <row r="27" spans="2:13" ht="30">
      <c r="B27" s="57">
        <v>22</v>
      </c>
      <c r="C27" s="279">
        <v>0.8</v>
      </c>
      <c r="D27" s="281">
        <v>0.2</v>
      </c>
      <c r="E27" s="334">
        <f>1105249867630950/1000000000000000</f>
        <v>1.1052498676309499</v>
      </c>
      <c r="F27" s="10" t="str">
        <f t="shared" si="0"/>
        <v>MOK</v>
      </c>
      <c r="G27" s="21" t="s">
        <v>119</v>
      </c>
      <c r="H27" s="21" t="s">
        <v>118</v>
      </c>
      <c r="I27" s="15" t="s">
        <v>90</v>
      </c>
      <c r="J27" s="15" t="s">
        <v>91</v>
      </c>
      <c r="K27" s="15" t="s">
        <v>8</v>
      </c>
      <c r="L27" s="58" t="s">
        <v>92</v>
      </c>
      <c r="M27" s="310" t="s">
        <v>456</v>
      </c>
    </row>
    <row r="28" spans="2:13">
      <c r="B28" s="57">
        <v>23</v>
      </c>
      <c r="C28" s="279">
        <v>0.8</v>
      </c>
      <c r="D28" s="281">
        <v>0.2</v>
      </c>
      <c r="E28" s="334">
        <f>12695/9255</f>
        <v>1.371690977849811</v>
      </c>
      <c r="F28" s="10" t="str">
        <f t="shared" si="0"/>
        <v>MOK</v>
      </c>
      <c r="G28" s="21" t="s">
        <v>120</v>
      </c>
      <c r="H28" s="21" t="s">
        <v>118</v>
      </c>
      <c r="I28" s="15" t="s">
        <v>90</v>
      </c>
      <c r="J28" s="15" t="s">
        <v>91</v>
      </c>
      <c r="K28" s="15" t="s">
        <v>8</v>
      </c>
      <c r="L28" s="58" t="s">
        <v>92</v>
      </c>
      <c r="M28" s="316"/>
    </row>
    <row r="29" spans="2:13" ht="30">
      <c r="B29" s="57">
        <v>24</v>
      </c>
      <c r="C29" s="279">
        <v>0.9</v>
      </c>
      <c r="D29" s="281">
        <v>0.1</v>
      </c>
      <c r="E29" s="334">
        <f>86902651/(86902651+14352498)</f>
        <v>0.85825414172270886</v>
      </c>
      <c r="F29" s="10" t="str">
        <f t="shared" si="0"/>
        <v>MCT</v>
      </c>
      <c r="G29" s="21" t="s">
        <v>121</v>
      </c>
      <c r="H29" s="21" t="s">
        <v>122</v>
      </c>
      <c r="I29" s="15" t="s">
        <v>97</v>
      </c>
      <c r="J29" s="15" t="s">
        <v>101</v>
      </c>
      <c r="K29" s="15" t="s">
        <v>18</v>
      </c>
      <c r="L29" s="58" t="s">
        <v>92</v>
      </c>
      <c r="M29" s="391" t="s">
        <v>457</v>
      </c>
    </row>
    <row r="30" spans="2:13">
      <c r="B30" s="57">
        <v>25</v>
      </c>
      <c r="C30" s="279">
        <v>0.8</v>
      </c>
      <c r="D30" s="281">
        <v>0.1</v>
      </c>
      <c r="E30" s="334">
        <f>30101 / 38211</f>
        <v>0.7877574520426055</v>
      </c>
      <c r="F30" s="10" t="str">
        <f t="shared" si="0"/>
        <v>MCT</v>
      </c>
      <c r="G30" s="21" t="s">
        <v>123</v>
      </c>
      <c r="H30" s="21" t="s">
        <v>122</v>
      </c>
      <c r="I30" s="15" t="s">
        <v>97</v>
      </c>
      <c r="J30" s="15" t="s">
        <v>101</v>
      </c>
      <c r="K30" s="15" t="s">
        <v>18</v>
      </c>
      <c r="L30" s="58" t="s">
        <v>92</v>
      </c>
      <c r="M30" s="207" t="s">
        <v>458</v>
      </c>
    </row>
    <row r="31" spans="2:13">
      <c r="B31" s="57">
        <v>26</v>
      </c>
      <c r="C31" s="279">
        <v>0.8</v>
      </c>
      <c r="D31" s="281">
        <v>0.1</v>
      </c>
      <c r="E31" s="334">
        <f>92471/101805</f>
        <v>0.90831491577034529</v>
      </c>
      <c r="F31" s="10" t="str">
        <f t="shared" si="0"/>
        <v>MOK</v>
      </c>
      <c r="G31" s="21" t="s">
        <v>124</v>
      </c>
      <c r="H31" s="21" t="s">
        <v>122</v>
      </c>
      <c r="I31" s="15" t="s">
        <v>97</v>
      </c>
      <c r="J31" s="15" t="s">
        <v>101</v>
      </c>
      <c r="K31" s="15" t="s">
        <v>18</v>
      </c>
      <c r="L31" s="58" t="s">
        <v>92</v>
      </c>
      <c r="M31" s="207"/>
    </row>
    <row r="32" spans="2:13">
      <c r="B32" s="57">
        <v>27</v>
      </c>
      <c r="C32" s="279">
        <v>0.7</v>
      </c>
      <c r="D32" s="281">
        <v>0.2</v>
      </c>
      <c r="E32" s="334">
        <v>0.89480000000000004</v>
      </c>
      <c r="F32" s="10" t="str">
        <f t="shared" si="0"/>
        <v>MOK</v>
      </c>
      <c r="G32" s="21" t="s">
        <v>125</v>
      </c>
      <c r="H32" s="21" t="s">
        <v>122</v>
      </c>
      <c r="I32" s="15" t="s">
        <v>97</v>
      </c>
      <c r="J32" s="15" t="s">
        <v>101</v>
      </c>
      <c r="K32" s="15" t="s">
        <v>18</v>
      </c>
      <c r="L32" s="58" t="s">
        <v>92</v>
      </c>
      <c r="M32" s="207"/>
    </row>
    <row r="33" spans="2:13" ht="30">
      <c r="B33" s="57">
        <v>28</v>
      </c>
      <c r="C33" s="279">
        <v>0.7</v>
      </c>
      <c r="D33" s="281">
        <v>0.2</v>
      </c>
      <c r="E33" s="334">
        <v>0.85950000000000004</v>
      </c>
      <c r="F33" s="10" t="str">
        <f t="shared" si="0"/>
        <v>MOK</v>
      </c>
      <c r="G33" s="21" t="s">
        <v>126</v>
      </c>
      <c r="H33" s="21" t="s">
        <v>122</v>
      </c>
      <c r="I33" s="15" t="s">
        <v>97</v>
      </c>
      <c r="J33" s="15" t="s">
        <v>101</v>
      </c>
      <c r="K33" s="15" t="s">
        <v>18</v>
      </c>
      <c r="L33" s="58" t="s">
        <v>92</v>
      </c>
      <c r="M33" s="391" t="s">
        <v>459</v>
      </c>
    </row>
    <row r="34" spans="2:13">
      <c r="B34" s="57">
        <v>29</v>
      </c>
      <c r="C34" s="279">
        <v>0.7</v>
      </c>
      <c r="D34" s="281">
        <v>0.2</v>
      </c>
      <c r="E34" s="334">
        <v>1.077</v>
      </c>
      <c r="F34" s="10" t="str">
        <f t="shared" si="0"/>
        <v>MOK</v>
      </c>
      <c r="G34" s="21" t="s">
        <v>127</v>
      </c>
      <c r="H34" s="21" t="s">
        <v>122</v>
      </c>
      <c r="I34" s="15" t="s">
        <v>97</v>
      </c>
      <c r="J34" s="15" t="s">
        <v>101</v>
      </c>
      <c r="K34" s="15" t="s">
        <v>18</v>
      </c>
      <c r="L34" s="58" t="s">
        <v>92</v>
      </c>
      <c r="M34" s="391"/>
    </row>
    <row r="35" spans="2:13">
      <c r="B35" s="57">
        <v>30</v>
      </c>
      <c r="C35" s="279">
        <v>0.7</v>
      </c>
      <c r="D35" s="281">
        <v>0.2</v>
      </c>
      <c r="E35" s="334">
        <v>0.95450000000000002</v>
      </c>
      <c r="F35" s="10" t="str">
        <f t="shared" si="0"/>
        <v>MOK</v>
      </c>
      <c r="G35" s="21" t="s">
        <v>128</v>
      </c>
      <c r="H35" s="21" t="s">
        <v>122</v>
      </c>
      <c r="I35" s="15" t="s">
        <v>97</v>
      </c>
      <c r="J35" s="15" t="s">
        <v>101</v>
      </c>
      <c r="K35" s="15" t="s">
        <v>18</v>
      </c>
      <c r="L35" s="58" t="s">
        <v>92</v>
      </c>
      <c r="M35" s="391"/>
    </row>
    <row r="36" spans="2:13">
      <c r="B36" s="57">
        <v>31</v>
      </c>
      <c r="C36" s="279">
        <v>0.7</v>
      </c>
      <c r="D36" s="281">
        <v>0.1</v>
      </c>
      <c r="E36" s="334">
        <v>0.74209999999999998</v>
      </c>
      <c r="F36" s="10" t="str">
        <f t="shared" si="0"/>
        <v>MOK</v>
      </c>
      <c r="G36" s="21" t="s">
        <v>129</v>
      </c>
      <c r="H36" s="21" t="s">
        <v>122</v>
      </c>
      <c r="I36" s="15" t="s">
        <v>97</v>
      </c>
      <c r="J36" s="15" t="s">
        <v>101</v>
      </c>
      <c r="K36" s="15" t="s">
        <v>18</v>
      </c>
      <c r="L36" s="58" t="s">
        <v>92</v>
      </c>
      <c r="M36" s="391"/>
    </row>
    <row r="37" spans="2:13">
      <c r="B37" s="57">
        <v>32</v>
      </c>
      <c r="C37" s="279">
        <v>1</v>
      </c>
      <c r="D37" s="281">
        <v>0.05</v>
      </c>
      <c r="E37" s="334">
        <v>1</v>
      </c>
      <c r="F37" s="10" t="str">
        <f t="shared" si="0"/>
        <v>MOK</v>
      </c>
      <c r="G37" s="21" t="s">
        <v>130</v>
      </c>
      <c r="H37" s="21" t="s">
        <v>122</v>
      </c>
      <c r="I37" s="15" t="s">
        <v>97</v>
      </c>
      <c r="J37" s="15" t="s">
        <v>101</v>
      </c>
      <c r="K37" s="15" t="s">
        <v>18</v>
      </c>
      <c r="L37" s="58" t="s">
        <v>92</v>
      </c>
      <c r="M37" s="284"/>
    </row>
    <row r="38" spans="2:13">
      <c r="B38" s="59">
        <v>33</v>
      </c>
      <c r="C38" s="280">
        <v>30</v>
      </c>
      <c r="D38" s="282">
        <v>10</v>
      </c>
      <c r="E38" s="335">
        <v>0</v>
      </c>
      <c r="F38" s="67" t="str">
        <f>_xlfn.IFS(ISBLANK(E38), "AWI", C38&gt;=E38,"MOK",(C38+D38)&gt;=E38,"MCT",C38&lt;E38,"MFL")</f>
        <v>MOK</v>
      </c>
      <c r="G38" s="283" t="s">
        <v>131</v>
      </c>
      <c r="H38" s="62" t="s">
        <v>122</v>
      </c>
      <c r="I38" s="63" t="s">
        <v>97</v>
      </c>
      <c r="J38" s="63" t="s">
        <v>101</v>
      </c>
      <c r="K38" s="63" t="s">
        <v>14</v>
      </c>
      <c r="L38" s="64" t="s">
        <v>92</v>
      </c>
      <c r="M38" s="285"/>
    </row>
    <row r="41" spans="2:13">
      <c r="B41" s="347" t="s">
        <v>16</v>
      </c>
      <c r="C41" s="348"/>
      <c r="D41" s="348"/>
      <c r="E41" s="348"/>
      <c r="F41" s="348"/>
      <c r="G41" s="348"/>
      <c r="H41" s="348"/>
      <c r="I41" s="348"/>
      <c r="J41" s="348"/>
      <c r="K41" s="348"/>
      <c r="L41" s="348"/>
      <c r="M41" s="349"/>
    </row>
    <row r="42" spans="2:13">
      <c r="B42" s="173" t="s">
        <v>77</v>
      </c>
      <c r="C42" s="174" t="s">
        <v>78</v>
      </c>
      <c r="D42" s="174" t="s">
        <v>132</v>
      </c>
      <c r="E42" s="174" t="s">
        <v>80</v>
      </c>
      <c r="F42" s="326" t="s">
        <v>81</v>
      </c>
      <c r="G42" s="175" t="s">
        <v>45</v>
      </c>
      <c r="H42" s="175" t="s">
        <v>82</v>
      </c>
      <c r="I42" s="174" t="s">
        <v>83</v>
      </c>
      <c r="J42" s="174" t="s">
        <v>84</v>
      </c>
      <c r="K42" s="174" t="s">
        <v>85</v>
      </c>
      <c r="L42" s="176" t="s">
        <v>86</v>
      </c>
      <c r="M42" s="172" t="s">
        <v>87</v>
      </c>
    </row>
    <row r="43" spans="2:13">
      <c r="B43" s="75">
        <v>1</v>
      </c>
      <c r="C43" s="100">
        <v>44136</v>
      </c>
      <c r="D43" s="102"/>
      <c r="E43" s="80"/>
      <c r="F43" s="41" t="str">
        <f t="shared" ref="F43:F60" si="1">_xlfn.IFS(ISBLANK(E43), "MSU", C43&gt;=E43,"MSA",C43&lt;E43,"MOD")</f>
        <v>MSU</v>
      </c>
      <c r="G43" s="82" t="s">
        <v>133</v>
      </c>
      <c r="H43" s="86"/>
      <c r="I43" s="87"/>
      <c r="J43" s="87"/>
      <c r="K43" s="87" t="s">
        <v>24</v>
      </c>
      <c r="L43" s="75" t="s">
        <v>92</v>
      </c>
      <c r="M43" s="58" t="s">
        <v>443</v>
      </c>
    </row>
    <row r="44" spans="2:13">
      <c r="B44" s="76">
        <v>2</v>
      </c>
      <c r="C44" s="105">
        <v>44835</v>
      </c>
      <c r="D44" s="125" t="s">
        <v>446</v>
      </c>
      <c r="E44" s="76"/>
      <c r="F44" s="41" t="str">
        <f t="shared" si="1"/>
        <v>MSU</v>
      </c>
      <c r="G44" s="83" t="s">
        <v>133</v>
      </c>
      <c r="H44" s="84"/>
      <c r="I44" s="68"/>
      <c r="J44" s="68"/>
      <c r="K44" s="68" t="s">
        <v>24</v>
      </c>
      <c r="L44" s="76" t="s">
        <v>92</v>
      </c>
      <c r="M44" s="58"/>
    </row>
    <row r="45" spans="2:13">
      <c r="B45" s="76">
        <v>3</v>
      </c>
      <c r="C45" s="105">
        <v>43983</v>
      </c>
      <c r="D45" s="103" t="s">
        <v>134</v>
      </c>
      <c r="E45" s="81">
        <v>43952</v>
      </c>
      <c r="F45" s="41" t="str">
        <f t="shared" si="1"/>
        <v>MSA</v>
      </c>
      <c r="G45" s="83" t="s">
        <v>135</v>
      </c>
      <c r="H45" s="84"/>
      <c r="I45" s="68"/>
      <c r="J45" s="68"/>
      <c r="K45" s="68" t="s">
        <v>27</v>
      </c>
      <c r="L45" s="76" t="s">
        <v>92</v>
      </c>
      <c r="M45" s="58"/>
    </row>
    <row r="46" spans="2:13">
      <c r="B46" s="76">
        <v>4</v>
      </c>
      <c r="C46" s="105">
        <v>44136</v>
      </c>
      <c r="D46" s="103" t="s">
        <v>134</v>
      </c>
      <c r="E46" s="81">
        <v>44013</v>
      </c>
      <c r="F46" s="41" t="str">
        <f t="shared" si="1"/>
        <v>MSA</v>
      </c>
      <c r="G46" s="83" t="s">
        <v>136</v>
      </c>
      <c r="H46" s="84"/>
      <c r="I46" s="68"/>
      <c r="J46" s="68"/>
      <c r="K46" s="68" t="s">
        <v>27</v>
      </c>
      <c r="L46" s="76" t="s">
        <v>92</v>
      </c>
      <c r="M46" s="58"/>
    </row>
    <row r="47" spans="2:13">
      <c r="B47" s="76">
        <v>5</v>
      </c>
      <c r="C47" s="105">
        <v>44287</v>
      </c>
      <c r="D47" s="125" t="s">
        <v>134</v>
      </c>
      <c r="E47" s="81">
        <v>44348</v>
      </c>
      <c r="F47" s="41" t="s">
        <v>61</v>
      </c>
      <c r="G47" s="83" t="s">
        <v>137</v>
      </c>
      <c r="H47" s="84" t="s">
        <v>450</v>
      </c>
      <c r="I47" s="68"/>
      <c r="J47" s="68"/>
      <c r="K47" s="68" t="s">
        <v>27</v>
      </c>
      <c r="L47" s="76" t="s">
        <v>92</v>
      </c>
      <c r="M47" s="58" t="s">
        <v>440</v>
      </c>
    </row>
    <row r="48" spans="2:13">
      <c r="B48" s="76">
        <v>6</v>
      </c>
      <c r="C48" s="105">
        <v>44317</v>
      </c>
      <c r="D48" s="125" t="s">
        <v>134</v>
      </c>
      <c r="E48" s="81">
        <v>44317</v>
      </c>
      <c r="F48" s="41" t="str">
        <f t="shared" si="1"/>
        <v>MSA</v>
      </c>
      <c r="G48" s="83" t="s">
        <v>138</v>
      </c>
      <c r="H48" s="84"/>
      <c r="I48" s="68"/>
      <c r="J48" s="68"/>
      <c r="K48" s="68" t="s">
        <v>27</v>
      </c>
      <c r="L48" s="76" t="s">
        <v>92</v>
      </c>
      <c r="M48" s="58"/>
    </row>
    <row r="49" spans="2:13">
      <c r="B49" s="76">
        <v>7</v>
      </c>
      <c r="C49" s="105">
        <v>44348</v>
      </c>
      <c r="D49" s="125" t="s">
        <v>134</v>
      </c>
      <c r="E49" s="81">
        <v>44348</v>
      </c>
      <c r="F49" s="41" t="str">
        <f t="shared" si="1"/>
        <v>MSA</v>
      </c>
      <c r="G49" s="83" t="s">
        <v>135</v>
      </c>
      <c r="H49" s="84"/>
      <c r="I49" s="68"/>
      <c r="J49" s="68"/>
      <c r="K49" s="68" t="s">
        <v>27</v>
      </c>
      <c r="L49" s="76" t="s">
        <v>92</v>
      </c>
      <c r="M49" s="58"/>
    </row>
    <row r="50" spans="2:13">
      <c r="B50" s="76">
        <v>8</v>
      </c>
      <c r="C50" s="105">
        <v>44501</v>
      </c>
      <c r="D50" s="125" t="s">
        <v>134</v>
      </c>
      <c r="E50" s="81">
        <v>44409</v>
      </c>
      <c r="F50" s="41" t="str">
        <f t="shared" si="1"/>
        <v>MSA</v>
      </c>
      <c r="G50" s="83" t="s">
        <v>139</v>
      </c>
      <c r="H50" s="84"/>
      <c r="I50" s="68"/>
      <c r="J50" s="68"/>
      <c r="K50" s="68" t="s">
        <v>27</v>
      </c>
      <c r="L50" s="76" t="s">
        <v>92</v>
      </c>
      <c r="M50" s="58"/>
    </row>
    <row r="51" spans="2:13">
      <c r="B51" s="76">
        <v>9</v>
      </c>
      <c r="C51" s="105">
        <v>44652</v>
      </c>
      <c r="D51" s="125" t="s">
        <v>134</v>
      </c>
      <c r="E51" s="76"/>
      <c r="F51" s="41" t="str">
        <f t="shared" si="1"/>
        <v>MSU</v>
      </c>
      <c r="G51" s="83" t="s">
        <v>140</v>
      </c>
      <c r="H51" s="84"/>
      <c r="I51" s="68"/>
      <c r="J51" s="68"/>
      <c r="K51" s="68" t="s">
        <v>27</v>
      </c>
      <c r="L51" s="76" t="s">
        <v>92</v>
      </c>
      <c r="M51" s="58"/>
    </row>
    <row r="52" spans="2:13">
      <c r="B52" s="76">
        <v>10</v>
      </c>
      <c r="C52" s="105">
        <v>44682</v>
      </c>
      <c r="D52" s="125" t="s">
        <v>134</v>
      </c>
      <c r="E52" s="81">
        <v>44652</v>
      </c>
      <c r="F52" s="41" t="str">
        <f t="shared" si="1"/>
        <v>MSA</v>
      </c>
      <c r="G52" s="83" t="s">
        <v>138</v>
      </c>
      <c r="H52" s="84"/>
      <c r="I52" s="68"/>
      <c r="J52" s="68"/>
      <c r="K52" s="68" t="s">
        <v>27</v>
      </c>
      <c r="L52" s="76" t="s">
        <v>92</v>
      </c>
      <c r="M52" s="58"/>
    </row>
    <row r="53" spans="2:13">
      <c r="B53" s="76">
        <v>11</v>
      </c>
      <c r="C53" s="105">
        <v>44713</v>
      </c>
      <c r="D53" s="125" t="s">
        <v>134</v>
      </c>
      <c r="E53" s="81">
        <v>44652</v>
      </c>
      <c r="F53" s="41" t="str">
        <f t="shared" si="1"/>
        <v>MSA</v>
      </c>
      <c r="G53" s="84" t="s">
        <v>135</v>
      </c>
      <c r="H53" s="84"/>
      <c r="I53" s="68"/>
      <c r="J53" s="68"/>
      <c r="K53" s="68" t="s">
        <v>27</v>
      </c>
      <c r="L53" s="76" t="s">
        <v>92</v>
      </c>
      <c r="M53" s="58"/>
    </row>
    <row r="54" spans="2:13">
      <c r="B54" s="76">
        <v>12</v>
      </c>
      <c r="C54" s="105">
        <v>44866</v>
      </c>
      <c r="D54" s="103"/>
      <c r="E54" s="76"/>
      <c r="F54" s="41" t="str">
        <f t="shared" si="1"/>
        <v>MSU</v>
      </c>
      <c r="G54" s="84" t="s">
        <v>141</v>
      </c>
      <c r="H54" s="84"/>
      <c r="I54" s="68"/>
      <c r="J54" s="68"/>
      <c r="K54" s="68" t="s">
        <v>27</v>
      </c>
      <c r="L54" s="76" t="s">
        <v>92</v>
      </c>
      <c r="M54" s="58"/>
    </row>
    <row r="55" spans="2:13">
      <c r="B55" s="76">
        <v>13</v>
      </c>
      <c r="C55" s="105">
        <v>45017</v>
      </c>
      <c r="D55" s="103"/>
      <c r="E55" s="76"/>
      <c r="F55" s="41" t="str">
        <f t="shared" si="1"/>
        <v>MSU</v>
      </c>
      <c r="G55" s="84" t="s">
        <v>142</v>
      </c>
      <c r="H55" s="84"/>
      <c r="I55" s="68"/>
      <c r="J55" s="68"/>
      <c r="K55" s="68" t="s">
        <v>27</v>
      </c>
      <c r="L55" s="76" t="s">
        <v>92</v>
      </c>
      <c r="M55" s="58"/>
    </row>
    <row r="56" spans="2:13">
      <c r="B56" s="76">
        <v>14</v>
      </c>
      <c r="C56" s="105">
        <v>45047</v>
      </c>
      <c r="D56" s="103"/>
      <c r="E56" s="76"/>
      <c r="F56" s="41" t="str">
        <f t="shared" si="1"/>
        <v>MSU</v>
      </c>
      <c r="G56" s="84" t="s">
        <v>138</v>
      </c>
      <c r="H56" s="84"/>
      <c r="I56" s="68"/>
      <c r="J56" s="68"/>
      <c r="K56" s="68" t="s">
        <v>27</v>
      </c>
      <c r="L56" s="76" t="s">
        <v>92</v>
      </c>
      <c r="M56" s="58"/>
    </row>
    <row r="57" spans="2:13">
      <c r="B57" s="76">
        <v>15</v>
      </c>
      <c r="C57" s="105">
        <v>45078</v>
      </c>
      <c r="D57" s="103"/>
      <c r="E57" s="76"/>
      <c r="F57" s="41" t="str">
        <f t="shared" si="1"/>
        <v>MSU</v>
      </c>
      <c r="G57" s="84" t="s">
        <v>135</v>
      </c>
      <c r="H57" s="84"/>
      <c r="I57" s="68"/>
      <c r="J57" s="68"/>
      <c r="K57" s="68" t="s">
        <v>27</v>
      </c>
      <c r="L57" s="76" t="s">
        <v>92</v>
      </c>
      <c r="M57" s="58"/>
    </row>
    <row r="58" spans="2:13">
      <c r="B58" s="76">
        <v>16</v>
      </c>
      <c r="C58" s="105">
        <v>45231</v>
      </c>
      <c r="D58" s="103"/>
      <c r="E58" s="76"/>
      <c r="F58" s="41" t="str">
        <f t="shared" si="1"/>
        <v>MSU</v>
      </c>
      <c r="G58" s="84" t="s">
        <v>143</v>
      </c>
      <c r="H58" s="84"/>
      <c r="I58" s="68"/>
      <c r="J58" s="68"/>
      <c r="K58" s="68" t="s">
        <v>27</v>
      </c>
      <c r="L58" s="76" t="s">
        <v>92</v>
      </c>
      <c r="M58" s="58"/>
    </row>
    <row r="59" spans="2:13">
      <c r="B59" s="76">
        <v>17</v>
      </c>
      <c r="C59" s="105">
        <v>45383</v>
      </c>
      <c r="D59" s="103"/>
      <c r="E59" s="76"/>
      <c r="F59" s="41" t="str">
        <f t="shared" si="1"/>
        <v>MSU</v>
      </c>
      <c r="G59" s="84" t="s">
        <v>144</v>
      </c>
      <c r="H59" s="84"/>
      <c r="I59" s="68"/>
      <c r="J59" s="68"/>
      <c r="K59" s="68" t="s">
        <v>27</v>
      </c>
      <c r="L59" s="76" t="s">
        <v>92</v>
      </c>
      <c r="M59" s="58"/>
    </row>
    <row r="60" spans="2:13">
      <c r="B60" s="77">
        <v>18</v>
      </c>
      <c r="C60" s="101">
        <v>45413</v>
      </c>
      <c r="D60" s="104"/>
      <c r="E60" s="77"/>
      <c r="F60" s="106" t="str">
        <f t="shared" si="1"/>
        <v>MSU</v>
      </c>
      <c r="G60" s="85" t="s">
        <v>138</v>
      </c>
      <c r="H60" s="85"/>
      <c r="I60" s="69"/>
      <c r="J60" s="69"/>
      <c r="K60" s="69" t="s">
        <v>27</v>
      </c>
      <c r="L60" s="77" t="s">
        <v>92</v>
      </c>
      <c r="M60" s="64"/>
    </row>
  </sheetData>
  <mergeCells count="3">
    <mergeCell ref="B2:D2"/>
    <mergeCell ref="B4:M4"/>
    <mergeCell ref="B41:M41"/>
  </mergeCells>
  <conditionalFormatting sqref="F6:F38">
    <cfRule type="cellIs" dxfId="90" priority="28" operator="equal">
      <formula>"MCT"</formula>
    </cfRule>
    <cfRule type="cellIs" dxfId="89" priority="29" operator="equal">
      <formula>"MFL"</formula>
    </cfRule>
    <cfRule type="cellIs" dxfId="88" priority="30" operator="equal">
      <formula>"MOK"</formula>
    </cfRule>
  </conditionalFormatting>
  <conditionalFormatting sqref="F43">
    <cfRule type="cellIs" dxfId="87" priority="25" operator="equal">
      <formula>"MSU"</formula>
    </cfRule>
    <cfRule type="cellIs" dxfId="86" priority="26" operator="equal">
      <formula>"MOD"</formula>
    </cfRule>
    <cfRule type="cellIs" dxfId="85" priority="27" operator="equal">
      <formula>"MSA"</formula>
    </cfRule>
  </conditionalFormatting>
  <conditionalFormatting sqref="F44:F60">
    <cfRule type="cellIs" dxfId="84" priority="22" operator="equal">
      <formula>"MSU"</formula>
    </cfRule>
    <cfRule type="cellIs" dxfId="83" priority="23" operator="equal">
      <formula>"MOD"</formula>
    </cfRule>
    <cfRule type="cellIs" dxfId="82" priority="24" operator="equal">
      <formula>"MSA"</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9F784-D50C-4059-8FCD-213E0FAC03BB}">
  <dimension ref="B2:R39"/>
  <sheetViews>
    <sheetView topLeftCell="C5" workbookViewId="0">
      <selection activeCell="D38" sqref="D38"/>
    </sheetView>
  </sheetViews>
  <sheetFormatPr defaultRowHeight="15"/>
  <cols>
    <col min="2" max="2" width="5.42578125" style="2" customWidth="1"/>
    <col min="3" max="3" width="11.140625" style="2" customWidth="1"/>
    <col min="4" max="4" width="7.5703125" style="2" customWidth="1"/>
    <col min="5" max="5" width="9.28515625" style="2" customWidth="1"/>
    <col min="6" max="6" width="7.140625" style="2" customWidth="1"/>
    <col min="7" max="7" width="54" style="1" customWidth="1"/>
    <col min="8" max="8" width="36.7109375" style="1" customWidth="1"/>
    <col min="9" max="9" width="11.42578125" style="2" customWidth="1"/>
    <col min="10" max="10" width="12.5703125" style="2" customWidth="1"/>
    <col min="11" max="11" width="24.140625" style="2" customWidth="1"/>
    <col min="12" max="12" width="7.85546875" style="2" customWidth="1"/>
    <col min="13" max="13" width="210.28515625" style="2" customWidth="1"/>
    <col min="14" max="18" width="8.85546875" style="2"/>
  </cols>
  <sheetData>
    <row r="2" spans="2:13">
      <c r="B2" s="341" t="s">
        <v>73</v>
      </c>
      <c r="C2" s="342"/>
      <c r="D2" s="356"/>
      <c r="E2" s="10" t="s">
        <v>145</v>
      </c>
      <c r="F2" s="162" t="s">
        <v>75</v>
      </c>
      <c r="G2" s="20" t="s">
        <v>146</v>
      </c>
    </row>
    <row r="4" spans="2:13">
      <c r="B4" s="357" t="s">
        <v>7</v>
      </c>
      <c r="C4" s="358"/>
      <c r="D4" s="358"/>
      <c r="E4" s="358"/>
      <c r="F4" s="358"/>
      <c r="G4" s="358"/>
      <c r="H4" s="358"/>
      <c r="I4" s="358"/>
      <c r="J4" s="358"/>
      <c r="K4" s="358"/>
      <c r="L4" s="358"/>
      <c r="M4" s="359"/>
    </row>
    <row r="5" spans="2:13">
      <c r="B5" s="181" t="s">
        <v>77</v>
      </c>
      <c r="C5" s="182" t="s">
        <v>78</v>
      </c>
      <c r="D5" s="182" t="s">
        <v>79</v>
      </c>
      <c r="E5" s="182" t="s">
        <v>80</v>
      </c>
      <c r="F5" s="182" t="s">
        <v>81</v>
      </c>
      <c r="G5" s="183" t="s">
        <v>45</v>
      </c>
      <c r="H5" s="183" t="s">
        <v>82</v>
      </c>
      <c r="I5" s="182" t="s">
        <v>83</v>
      </c>
      <c r="J5" s="182" t="s">
        <v>84</v>
      </c>
      <c r="K5" s="182" t="s">
        <v>85</v>
      </c>
      <c r="L5" s="184" t="s">
        <v>86</v>
      </c>
      <c r="M5" s="185" t="s">
        <v>87</v>
      </c>
    </row>
    <row r="6" spans="2:13">
      <c r="B6" s="57">
        <v>1</v>
      </c>
      <c r="C6" s="17">
        <v>1</v>
      </c>
      <c r="D6" s="17">
        <v>0.05</v>
      </c>
      <c r="E6" s="17">
        <v>3.59</v>
      </c>
      <c r="F6" s="10" t="str">
        <f>_xlfn.IFS(ISBLANK(E6), "AWI", C6&lt;=E6,"MOK",(C6-D6)&lt;=E6,"MCT",C6&gt;E6,"MFL")</f>
        <v>MOK</v>
      </c>
      <c r="G6" s="21" t="s">
        <v>147</v>
      </c>
      <c r="H6" s="21" t="s">
        <v>148</v>
      </c>
      <c r="I6" s="15" t="s">
        <v>90</v>
      </c>
      <c r="J6" s="15" t="s">
        <v>91</v>
      </c>
      <c r="K6" s="15" t="s">
        <v>8</v>
      </c>
      <c r="L6" s="74" t="s">
        <v>149</v>
      </c>
      <c r="M6" s="76"/>
    </row>
    <row r="7" spans="2:13">
      <c r="B7" s="57">
        <v>2</v>
      </c>
      <c r="C7" s="17">
        <v>1</v>
      </c>
      <c r="D7" s="17">
        <v>0.05</v>
      </c>
      <c r="E7" s="17">
        <v>2.12</v>
      </c>
      <c r="F7" s="10" t="str">
        <f t="shared" ref="F7:F25" si="0">_xlfn.IFS(ISBLANK(E7), "AWI", C7&lt;=E7,"MOK",(C7-D7)&lt;=E7,"MCT",C7&gt;E7,"MFL")</f>
        <v>MOK</v>
      </c>
      <c r="G7" s="21" t="s">
        <v>150</v>
      </c>
      <c r="H7" s="21" t="s">
        <v>148</v>
      </c>
      <c r="I7" s="15" t="s">
        <v>90</v>
      </c>
      <c r="J7" s="15" t="s">
        <v>91</v>
      </c>
      <c r="K7" s="15" t="s">
        <v>8</v>
      </c>
      <c r="L7" s="74" t="s">
        <v>151</v>
      </c>
      <c r="M7" s="76"/>
    </row>
    <row r="8" spans="2:13">
      <c r="B8" s="57">
        <v>3</v>
      </c>
      <c r="C8" s="17">
        <v>1</v>
      </c>
      <c r="D8" s="17">
        <v>0.05</v>
      </c>
      <c r="E8" s="17">
        <v>1.94</v>
      </c>
      <c r="F8" s="10" t="str">
        <f t="shared" si="0"/>
        <v>MOK</v>
      </c>
      <c r="G8" s="21" t="s">
        <v>152</v>
      </c>
      <c r="H8" s="21" t="s">
        <v>148</v>
      </c>
      <c r="I8" s="15" t="s">
        <v>90</v>
      </c>
      <c r="J8" s="15" t="s">
        <v>91</v>
      </c>
      <c r="K8" s="15" t="s">
        <v>8</v>
      </c>
      <c r="L8" s="74" t="s">
        <v>413</v>
      </c>
      <c r="M8" s="76"/>
    </row>
    <row r="9" spans="2:13">
      <c r="B9" s="57">
        <v>4</v>
      </c>
      <c r="C9" s="17">
        <v>1</v>
      </c>
      <c r="D9" s="17">
        <v>0.05</v>
      </c>
      <c r="E9" s="17">
        <v>2.4900000000000002</v>
      </c>
      <c r="F9" s="10" t="str">
        <f t="shared" si="0"/>
        <v>MOK</v>
      </c>
      <c r="G9" s="21" t="s">
        <v>154</v>
      </c>
      <c r="H9" s="21" t="s">
        <v>148</v>
      </c>
      <c r="I9" s="15" t="s">
        <v>90</v>
      </c>
      <c r="J9" s="15" t="s">
        <v>91</v>
      </c>
      <c r="K9" s="15" t="s">
        <v>8</v>
      </c>
      <c r="L9" s="74" t="s">
        <v>155</v>
      </c>
      <c r="M9" s="76"/>
    </row>
    <row r="10" spans="2:13">
      <c r="B10" s="57">
        <v>5</v>
      </c>
      <c r="C10" s="17">
        <v>1</v>
      </c>
      <c r="D10" s="17">
        <v>0.05</v>
      </c>
      <c r="E10" s="17">
        <v>3.94</v>
      </c>
      <c r="F10" s="10" t="str">
        <f t="shared" si="0"/>
        <v>MOK</v>
      </c>
      <c r="G10" s="21" t="s">
        <v>156</v>
      </c>
      <c r="H10" s="21" t="s">
        <v>148</v>
      </c>
      <c r="I10" s="15" t="s">
        <v>90</v>
      </c>
      <c r="J10" s="15" t="s">
        <v>91</v>
      </c>
      <c r="K10" s="15" t="s">
        <v>8</v>
      </c>
      <c r="L10" s="74" t="s">
        <v>149</v>
      </c>
      <c r="M10" s="76"/>
    </row>
    <row r="11" spans="2:13">
      <c r="B11" s="57">
        <v>6</v>
      </c>
      <c r="C11" s="17">
        <v>1</v>
      </c>
      <c r="D11" s="17">
        <v>0.05</v>
      </c>
      <c r="E11" s="17">
        <v>2.23</v>
      </c>
      <c r="F11" s="10" t="str">
        <f t="shared" si="0"/>
        <v>MOK</v>
      </c>
      <c r="G11" s="21" t="s">
        <v>157</v>
      </c>
      <c r="H11" s="21" t="s">
        <v>148</v>
      </c>
      <c r="I11" s="15" t="s">
        <v>90</v>
      </c>
      <c r="J11" s="15" t="s">
        <v>91</v>
      </c>
      <c r="K11" s="15" t="s">
        <v>8</v>
      </c>
      <c r="L11" s="74" t="s">
        <v>151</v>
      </c>
      <c r="M11" s="76"/>
    </row>
    <row r="12" spans="2:13">
      <c r="B12" s="57">
        <v>7</v>
      </c>
      <c r="C12" s="17">
        <v>1</v>
      </c>
      <c r="D12" s="17">
        <v>0.05</v>
      </c>
      <c r="E12" s="17">
        <v>1.24</v>
      </c>
      <c r="F12" s="10" t="str">
        <f t="shared" si="0"/>
        <v>MOK</v>
      </c>
      <c r="G12" s="21" t="s">
        <v>158</v>
      </c>
      <c r="H12" s="21" t="s">
        <v>148</v>
      </c>
      <c r="I12" s="15" t="s">
        <v>90</v>
      </c>
      <c r="J12" s="15" t="s">
        <v>91</v>
      </c>
      <c r="K12" s="15" t="s">
        <v>8</v>
      </c>
      <c r="L12" s="74" t="s">
        <v>413</v>
      </c>
      <c r="M12" s="76"/>
    </row>
    <row r="13" spans="2:13">
      <c r="B13" s="57">
        <v>8</v>
      </c>
      <c r="C13" s="17">
        <v>1</v>
      </c>
      <c r="D13" s="17">
        <v>0.05</v>
      </c>
      <c r="E13" s="17">
        <v>1.93</v>
      </c>
      <c r="F13" s="10" t="str">
        <f t="shared" si="0"/>
        <v>MOK</v>
      </c>
      <c r="G13" s="21" t="s">
        <v>159</v>
      </c>
      <c r="H13" s="21" t="s">
        <v>148</v>
      </c>
      <c r="I13" s="15" t="s">
        <v>90</v>
      </c>
      <c r="J13" s="15" t="s">
        <v>91</v>
      </c>
      <c r="K13" s="15" t="s">
        <v>8</v>
      </c>
      <c r="L13" s="74" t="s">
        <v>155</v>
      </c>
      <c r="M13" s="76"/>
    </row>
    <row r="14" spans="2:13">
      <c r="B14" s="57">
        <v>9</v>
      </c>
      <c r="C14" s="18">
        <v>0.5</v>
      </c>
      <c r="D14" s="17">
        <v>0.05</v>
      </c>
      <c r="E14" s="17">
        <v>0.82</v>
      </c>
      <c r="F14" s="10" t="str">
        <f t="shared" si="0"/>
        <v>MOK</v>
      </c>
      <c r="G14" s="21" t="s">
        <v>160</v>
      </c>
      <c r="H14" s="21" t="s">
        <v>161</v>
      </c>
      <c r="I14" s="15" t="s">
        <v>90</v>
      </c>
      <c r="J14" s="15" t="s">
        <v>91</v>
      </c>
      <c r="K14" s="15" t="s">
        <v>18</v>
      </c>
      <c r="L14" s="74" t="s">
        <v>149</v>
      </c>
      <c r="M14" s="76"/>
    </row>
    <row r="15" spans="2:13">
      <c r="B15" s="57">
        <v>10</v>
      </c>
      <c r="C15" s="18">
        <v>0.5</v>
      </c>
      <c r="D15" s="17">
        <v>0.05</v>
      </c>
      <c r="E15" s="17">
        <v>0.98</v>
      </c>
      <c r="F15" s="10" t="str">
        <f t="shared" si="0"/>
        <v>MOK</v>
      </c>
      <c r="G15" s="21" t="s">
        <v>162</v>
      </c>
      <c r="H15" s="21" t="s">
        <v>161</v>
      </c>
      <c r="I15" s="15" t="s">
        <v>90</v>
      </c>
      <c r="J15" s="15" t="s">
        <v>91</v>
      </c>
      <c r="K15" s="15" t="s">
        <v>18</v>
      </c>
      <c r="L15" s="74" t="s">
        <v>151</v>
      </c>
      <c r="M15" s="76"/>
    </row>
    <row r="16" spans="2:13">
      <c r="B16" s="57">
        <v>11</v>
      </c>
      <c r="C16" s="18">
        <v>0.5</v>
      </c>
      <c r="D16" s="17">
        <v>0.05</v>
      </c>
      <c r="E16" s="17">
        <v>1.66</v>
      </c>
      <c r="F16" s="10" t="str">
        <f t="shared" si="0"/>
        <v>MOK</v>
      </c>
      <c r="G16" s="21" t="s">
        <v>163</v>
      </c>
      <c r="H16" s="21" t="s">
        <v>161</v>
      </c>
      <c r="I16" s="15" t="s">
        <v>90</v>
      </c>
      <c r="J16" s="15" t="s">
        <v>91</v>
      </c>
      <c r="K16" s="15" t="s">
        <v>18</v>
      </c>
      <c r="L16" s="74" t="s">
        <v>413</v>
      </c>
      <c r="M16" s="76"/>
    </row>
    <row r="17" spans="2:13">
      <c r="B17" s="57">
        <v>12</v>
      </c>
      <c r="C17" s="18">
        <v>0.5</v>
      </c>
      <c r="D17" s="17">
        <v>0.05</v>
      </c>
      <c r="E17" s="17">
        <v>0.85</v>
      </c>
      <c r="F17" s="10" t="str">
        <f t="shared" si="0"/>
        <v>MOK</v>
      </c>
      <c r="G17" s="21" t="s">
        <v>164</v>
      </c>
      <c r="H17" s="21" t="s">
        <v>161</v>
      </c>
      <c r="I17" s="15" t="s">
        <v>90</v>
      </c>
      <c r="J17" s="15" t="s">
        <v>91</v>
      </c>
      <c r="K17" s="15" t="s">
        <v>18</v>
      </c>
      <c r="L17" s="74" t="s">
        <v>155</v>
      </c>
      <c r="M17" s="76"/>
    </row>
    <row r="18" spans="2:13">
      <c r="B18" s="57">
        <v>13</v>
      </c>
      <c r="C18" s="18">
        <v>0.95</v>
      </c>
      <c r="D18" s="17">
        <v>0.05</v>
      </c>
      <c r="E18" s="17">
        <v>0.98</v>
      </c>
      <c r="F18" s="10" t="str">
        <f t="shared" si="0"/>
        <v>MOK</v>
      </c>
      <c r="G18" s="21" t="s">
        <v>165</v>
      </c>
      <c r="H18" s="21" t="s">
        <v>100</v>
      </c>
      <c r="I18" s="15" t="s">
        <v>97</v>
      </c>
      <c r="J18" s="15" t="s">
        <v>166</v>
      </c>
      <c r="K18" s="15" t="s">
        <v>15</v>
      </c>
      <c r="L18" s="74" t="s">
        <v>149</v>
      </c>
      <c r="M18" s="249"/>
    </row>
    <row r="19" spans="2:13">
      <c r="B19" s="57">
        <v>14</v>
      </c>
      <c r="C19" s="18">
        <v>0.95</v>
      </c>
      <c r="D19" s="17">
        <v>0.05</v>
      </c>
      <c r="E19" s="17">
        <v>0.99</v>
      </c>
      <c r="F19" s="10" t="str">
        <f t="shared" si="0"/>
        <v>MOK</v>
      </c>
      <c r="G19" s="21" t="s">
        <v>167</v>
      </c>
      <c r="H19" s="21" t="s">
        <v>100</v>
      </c>
      <c r="I19" s="15" t="s">
        <v>97</v>
      </c>
      <c r="J19" s="15" t="s">
        <v>166</v>
      </c>
      <c r="K19" s="15" t="s">
        <v>15</v>
      </c>
      <c r="L19" s="74" t="s">
        <v>149</v>
      </c>
      <c r="M19" s="249"/>
    </row>
    <row r="20" spans="2:13">
      <c r="B20" s="57">
        <v>15</v>
      </c>
      <c r="C20" s="18">
        <v>0.95</v>
      </c>
      <c r="D20" s="17">
        <v>0.05</v>
      </c>
      <c r="E20" s="17">
        <v>1</v>
      </c>
      <c r="F20" s="10" t="str">
        <f t="shared" si="0"/>
        <v>MOK</v>
      </c>
      <c r="G20" s="21" t="s">
        <v>168</v>
      </c>
      <c r="H20" s="21" t="s">
        <v>100</v>
      </c>
      <c r="I20" s="15" t="s">
        <v>97</v>
      </c>
      <c r="J20" s="15" t="s">
        <v>166</v>
      </c>
      <c r="K20" s="15" t="s">
        <v>15</v>
      </c>
      <c r="L20" s="74" t="s">
        <v>151</v>
      </c>
      <c r="M20" s="249"/>
    </row>
    <row r="21" spans="2:13">
      <c r="B21" s="57">
        <v>16</v>
      </c>
      <c r="C21" s="18">
        <v>0.95</v>
      </c>
      <c r="D21" s="17">
        <v>0.05</v>
      </c>
      <c r="E21" s="17">
        <v>1</v>
      </c>
      <c r="F21" s="10" t="str">
        <f t="shared" si="0"/>
        <v>MOK</v>
      </c>
      <c r="G21" s="21" t="s">
        <v>169</v>
      </c>
      <c r="H21" s="21" t="s">
        <v>100</v>
      </c>
      <c r="I21" s="15" t="s">
        <v>97</v>
      </c>
      <c r="J21" s="15" t="s">
        <v>166</v>
      </c>
      <c r="K21" s="15" t="s">
        <v>15</v>
      </c>
      <c r="L21" s="74" t="s">
        <v>151</v>
      </c>
      <c r="M21" s="249"/>
    </row>
    <row r="22" spans="2:13">
      <c r="B22" s="57">
        <v>17</v>
      </c>
      <c r="C22" s="18">
        <v>0.95</v>
      </c>
      <c r="D22" s="17">
        <v>0.05</v>
      </c>
      <c r="E22" s="17">
        <v>0.97</v>
      </c>
      <c r="F22" s="10" t="str">
        <f t="shared" si="0"/>
        <v>MOK</v>
      </c>
      <c r="G22" s="21" t="s">
        <v>170</v>
      </c>
      <c r="H22" s="21" t="s">
        <v>100</v>
      </c>
      <c r="I22" s="15" t="s">
        <v>97</v>
      </c>
      <c r="J22" s="15" t="s">
        <v>166</v>
      </c>
      <c r="K22" s="15" t="s">
        <v>15</v>
      </c>
      <c r="L22" s="74" t="s">
        <v>413</v>
      </c>
      <c r="M22" s="249"/>
    </row>
    <row r="23" spans="2:13">
      <c r="B23" s="57">
        <v>18</v>
      </c>
      <c r="C23" s="18">
        <v>0.95</v>
      </c>
      <c r="D23" s="17">
        <v>0.05</v>
      </c>
      <c r="E23" s="17">
        <v>0.97</v>
      </c>
      <c r="F23" s="10" t="str">
        <f t="shared" si="0"/>
        <v>MOK</v>
      </c>
      <c r="G23" s="21" t="s">
        <v>171</v>
      </c>
      <c r="H23" s="21" t="s">
        <v>100</v>
      </c>
      <c r="I23" s="15" t="s">
        <v>97</v>
      </c>
      <c r="J23" s="15" t="s">
        <v>166</v>
      </c>
      <c r="K23" s="15" t="s">
        <v>15</v>
      </c>
      <c r="L23" s="74" t="s">
        <v>413</v>
      </c>
      <c r="M23" s="249"/>
    </row>
    <row r="24" spans="2:13">
      <c r="B24" s="57">
        <v>19</v>
      </c>
      <c r="C24" s="18">
        <v>0.95</v>
      </c>
      <c r="D24" s="17">
        <v>0.05</v>
      </c>
      <c r="E24" s="17">
        <v>0.8</v>
      </c>
      <c r="F24" s="10" t="str">
        <f t="shared" si="0"/>
        <v>MFL</v>
      </c>
      <c r="G24" s="21" t="s">
        <v>172</v>
      </c>
      <c r="H24" s="21" t="s">
        <v>100</v>
      </c>
      <c r="I24" s="15" t="s">
        <v>97</v>
      </c>
      <c r="J24" s="15" t="s">
        <v>166</v>
      </c>
      <c r="K24" s="15" t="s">
        <v>15</v>
      </c>
      <c r="L24" s="74" t="s">
        <v>155</v>
      </c>
      <c r="M24" s="249" t="s">
        <v>444</v>
      </c>
    </row>
    <row r="25" spans="2:13">
      <c r="B25" s="59">
        <v>20</v>
      </c>
      <c r="C25" s="65">
        <v>0.95</v>
      </c>
      <c r="D25" s="66">
        <v>0.05</v>
      </c>
      <c r="E25" s="66">
        <v>0.81</v>
      </c>
      <c r="F25" s="10" t="str">
        <f t="shared" si="0"/>
        <v>MFL</v>
      </c>
      <c r="G25" s="62" t="s">
        <v>173</v>
      </c>
      <c r="H25" s="62" t="s">
        <v>100</v>
      </c>
      <c r="I25" s="63" t="s">
        <v>97</v>
      </c>
      <c r="J25" s="63" t="s">
        <v>166</v>
      </c>
      <c r="K25" s="63" t="s">
        <v>15</v>
      </c>
      <c r="L25" s="107" t="s">
        <v>155</v>
      </c>
      <c r="M25" s="251" t="s">
        <v>444</v>
      </c>
    </row>
    <row r="28" spans="2:13">
      <c r="B28" s="357" t="s">
        <v>16</v>
      </c>
      <c r="C28" s="358"/>
      <c r="D28" s="358"/>
      <c r="E28" s="358"/>
      <c r="F28" s="358"/>
      <c r="G28" s="358"/>
      <c r="H28" s="358"/>
      <c r="I28" s="358"/>
      <c r="J28" s="358"/>
      <c r="K28" s="358"/>
      <c r="L28" s="358"/>
      <c r="M28" s="359"/>
    </row>
    <row r="29" spans="2:13">
      <c r="B29" s="182" t="s">
        <v>77</v>
      </c>
      <c r="C29" s="182" t="s">
        <v>78</v>
      </c>
      <c r="D29" s="182" t="s">
        <v>132</v>
      </c>
      <c r="E29" s="182" t="s">
        <v>80</v>
      </c>
      <c r="F29" s="184" t="s">
        <v>81</v>
      </c>
      <c r="G29" s="183" t="s">
        <v>45</v>
      </c>
      <c r="H29" s="183" t="s">
        <v>82</v>
      </c>
      <c r="I29" s="182" t="s">
        <v>83</v>
      </c>
      <c r="J29" s="182" t="s">
        <v>84</v>
      </c>
      <c r="K29" s="182" t="s">
        <v>85</v>
      </c>
      <c r="L29" s="184" t="s">
        <v>86</v>
      </c>
      <c r="M29" s="185" t="s">
        <v>87</v>
      </c>
    </row>
    <row r="30" spans="2:13">
      <c r="B30" s="11">
        <v>1</v>
      </c>
      <c r="C30" s="23">
        <v>43983</v>
      </c>
      <c r="D30" s="23" t="s">
        <v>134</v>
      </c>
      <c r="E30" s="30">
        <v>43922</v>
      </c>
      <c r="F30" s="10" t="str">
        <f>_xlfn.IFS(ISBLANK(E30), "MSU", C30&gt;=E30,"MSA",C30&lt;E30,"MOD")</f>
        <v>MSA</v>
      </c>
      <c r="G30" s="25" t="s">
        <v>174</v>
      </c>
      <c r="H30" s="21"/>
      <c r="I30" s="15"/>
      <c r="J30" s="15"/>
      <c r="K30" s="15" t="s">
        <v>27</v>
      </c>
      <c r="L30" s="74" t="s">
        <v>153</v>
      </c>
      <c r="M30" s="76"/>
    </row>
    <row r="31" spans="2:13">
      <c r="B31" s="11">
        <v>2</v>
      </c>
      <c r="C31" s="23">
        <v>44470</v>
      </c>
      <c r="D31" s="23" t="s">
        <v>134</v>
      </c>
      <c r="E31" s="30">
        <v>44470</v>
      </c>
      <c r="F31" s="10" t="str">
        <f>_xlfn.IFS(ISBLANK(E31), "MSU", C31&gt;=E31,"MSA",C31&lt;E31,"MOD")</f>
        <v>MSA</v>
      </c>
      <c r="G31" s="25" t="s">
        <v>175</v>
      </c>
      <c r="H31" s="21"/>
      <c r="I31" s="15"/>
      <c r="J31" s="15"/>
      <c r="K31" s="15" t="s">
        <v>27</v>
      </c>
      <c r="L31" s="74" t="s">
        <v>153</v>
      </c>
      <c r="M31" s="249" t="s">
        <v>176</v>
      </c>
    </row>
    <row r="32" spans="2:13">
      <c r="B32" s="11">
        <v>3</v>
      </c>
      <c r="C32" s="23">
        <v>44652</v>
      </c>
      <c r="D32" s="23" t="s">
        <v>134</v>
      </c>
      <c r="E32" s="30">
        <v>44652</v>
      </c>
      <c r="F32" s="10" t="str">
        <f t="shared" ref="F32:F39" si="1">_xlfn.IFS(ISBLANK(E32), "MSU", C32&gt;=E32,"MSA",C32&lt;E32,"MOD")</f>
        <v>MSA</v>
      </c>
      <c r="G32" s="25" t="s">
        <v>177</v>
      </c>
      <c r="H32" s="21"/>
      <c r="I32" s="15"/>
      <c r="J32" s="15"/>
      <c r="K32" s="15" t="s">
        <v>27</v>
      </c>
      <c r="L32" s="74" t="s">
        <v>431</v>
      </c>
      <c r="M32" s="76"/>
    </row>
    <row r="33" spans="2:13">
      <c r="B33" s="11">
        <v>4</v>
      </c>
      <c r="C33" s="23">
        <v>44713</v>
      </c>
      <c r="D33" s="23" t="s">
        <v>134</v>
      </c>
      <c r="E33" s="30">
        <v>44531</v>
      </c>
      <c r="F33" s="10" t="str">
        <f t="shared" si="1"/>
        <v>MSA</v>
      </c>
      <c r="G33" s="25" t="s">
        <v>174</v>
      </c>
      <c r="H33" s="21"/>
      <c r="I33" s="15"/>
      <c r="J33" s="15"/>
      <c r="K33" s="15" t="s">
        <v>27</v>
      </c>
      <c r="L33" s="74" t="s">
        <v>431</v>
      </c>
      <c r="M33" s="76"/>
    </row>
    <row r="34" spans="2:13">
      <c r="B34" s="11">
        <v>5</v>
      </c>
      <c r="C34" s="23">
        <v>44835</v>
      </c>
      <c r="D34" s="23"/>
      <c r="E34" s="15"/>
      <c r="F34" s="10" t="str">
        <f t="shared" si="1"/>
        <v>MSU</v>
      </c>
      <c r="G34" s="25" t="s">
        <v>178</v>
      </c>
      <c r="H34" s="21"/>
      <c r="I34" s="15"/>
      <c r="J34" s="15"/>
      <c r="K34" s="15" t="s">
        <v>27</v>
      </c>
      <c r="L34" s="74" t="s">
        <v>431</v>
      </c>
      <c r="M34" s="76"/>
    </row>
    <row r="35" spans="2:13">
      <c r="B35" s="11">
        <v>6</v>
      </c>
      <c r="C35" s="23">
        <v>45017</v>
      </c>
      <c r="D35" s="23"/>
      <c r="E35" s="15"/>
      <c r="F35" s="10" t="str">
        <f t="shared" si="1"/>
        <v>MSU</v>
      </c>
      <c r="G35" s="25" t="s">
        <v>179</v>
      </c>
      <c r="H35" s="21"/>
      <c r="I35" s="15"/>
      <c r="J35" s="15"/>
      <c r="K35" s="15" t="s">
        <v>27</v>
      </c>
      <c r="L35" s="74" t="s">
        <v>431</v>
      </c>
      <c r="M35" s="76"/>
    </row>
    <row r="36" spans="2:13">
      <c r="B36" s="11">
        <v>7</v>
      </c>
      <c r="C36" s="23">
        <v>44044</v>
      </c>
      <c r="D36" s="23" t="s">
        <v>134</v>
      </c>
      <c r="E36" s="30">
        <v>44044</v>
      </c>
      <c r="F36" s="10" t="str">
        <f>_xlfn.IFS(ISBLANK(E36), "MSU", C36&gt;=E36,"MSA",C36&lt;E36,"MOD")</f>
        <v>MSA</v>
      </c>
      <c r="G36" s="25" t="s">
        <v>180</v>
      </c>
      <c r="H36" s="21" t="s">
        <v>181</v>
      </c>
      <c r="I36" s="15"/>
      <c r="J36" s="15" t="s">
        <v>182</v>
      </c>
      <c r="K36" s="15" t="s">
        <v>8</v>
      </c>
      <c r="L36" s="74" t="s">
        <v>431</v>
      </c>
      <c r="M36" s="76"/>
    </row>
    <row r="37" spans="2:13">
      <c r="B37" s="11">
        <v>8</v>
      </c>
      <c r="C37" s="23">
        <v>44409</v>
      </c>
      <c r="D37" s="23" t="s">
        <v>134</v>
      </c>
      <c r="E37" s="30">
        <v>44409</v>
      </c>
      <c r="F37" s="10" t="str">
        <f>_xlfn.IFS(ISBLANK(E37), "MSU", C37&gt;=E37,"MSA",C37&lt;E37,"MOD")</f>
        <v>MSA</v>
      </c>
      <c r="G37" s="25" t="s">
        <v>180</v>
      </c>
      <c r="H37" s="21" t="s">
        <v>181</v>
      </c>
      <c r="I37" s="15"/>
      <c r="J37" s="15" t="s">
        <v>182</v>
      </c>
      <c r="K37" s="15" t="s">
        <v>8</v>
      </c>
      <c r="L37" s="74" t="s">
        <v>431</v>
      </c>
      <c r="M37" s="76"/>
    </row>
    <row r="38" spans="2:13">
      <c r="B38" s="11">
        <v>9</v>
      </c>
      <c r="C38" s="23">
        <v>44774</v>
      </c>
      <c r="D38" s="23"/>
      <c r="E38" s="15"/>
      <c r="F38" s="10" t="str">
        <f t="shared" si="1"/>
        <v>MSU</v>
      </c>
      <c r="G38" s="25" t="s">
        <v>180</v>
      </c>
      <c r="H38" s="21" t="s">
        <v>181</v>
      </c>
      <c r="I38" s="15"/>
      <c r="J38" s="15" t="s">
        <v>182</v>
      </c>
      <c r="K38" s="15" t="s">
        <v>8</v>
      </c>
      <c r="L38" s="74" t="s">
        <v>431</v>
      </c>
      <c r="M38" s="76"/>
    </row>
    <row r="39" spans="2:13">
      <c r="B39" s="13">
        <v>10</v>
      </c>
      <c r="C39" s="24">
        <v>45139</v>
      </c>
      <c r="D39" s="24"/>
      <c r="E39" s="31"/>
      <c r="F39" s="10" t="str">
        <f t="shared" si="1"/>
        <v>MSU</v>
      </c>
      <c r="G39" s="26" t="s">
        <v>180</v>
      </c>
      <c r="H39" s="22" t="s">
        <v>181</v>
      </c>
      <c r="I39" s="16"/>
      <c r="J39" s="16" t="s">
        <v>182</v>
      </c>
      <c r="K39" s="16" t="s">
        <v>8</v>
      </c>
      <c r="L39" s="14" t="s">
        <v>431</v>
      </c>
      <c r="M39" s="77"/>
    </row>
  </sheetData>
  <mergeCells count="3">
    <mergeCell ref="B2:D2"/>
    <mergeCell ref="B4:M4"/>
    <mergeCell ref="B28:M28"/>
  </mergeCells>
  <conditionalFormatting sqref="F6:F25">
    <cfRule type="cellIs" dxfId="81" priority="65" operator="equal">
      <formula>"MCT"</formula>
    </cfRule>
    <cfRule type="cellIs" dxfId="80" priority="66" operator="equal">
      <formula>"MFL"</formula>
    </cfRule>
    <cfRule type="cellIs" dxfId="79" priority="67" operator="equal">
      <formula>"MOK"</formula>
    </cfRule>
  </conditionalFormatting>
  <conditionalFormatting sqref="F30">
    <cfRule type="cellIs" dxfId="78" priority="4" operator="equal">
      <formula>"MSU"</formula>
    </cfRule>
    <cfRule type="cellIs" dxfId="77" priority="6" operator="equal">
      <formula>"MOD"</formula>
    </cfRule>
    <cfRule type="cellIs" dxfId="76" priority="7" operator="equal">
      <formula>"MSA"</formula>
    </cfRule>
  </conditionalFormatting>
  <conditionalFormatting sqref="F31:F39">
    <cfRule type="cellIs" dxfId="75" priority="1" operator="equal">
      <formula>"MSU"</formula>
    </cfRule>
    <cfRule type="cellIs" dxfId="74" priority="2" operator="equal">
      <formula>"MOD"</formula>
    </cfRule>
    <cfRule type="cellIs" dxfId="73" priority="3" operator="equal">
      <formula>"MSA"</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1CC88-FDFF-41E1-875F-98197AA0E550}">
  <dimension ref="A2:T31"/>
  <sheetViews>
    <sheetView topLeftCell="G1" workbookViewId="0">
      <selection activeCell="A14" sqref="A14"/>
    </sheetView>
  </sheetViews>
  <sheetFormatPr defaultRowHeight="15"/>
  <cols>
    <col min="2" max="2" width="5.42578125" style="2" customWidth="1"/>
    <col min="3" max="3" width="11.140625" style="2" customWidth="1"/>
    <col min="4" max="4" width="8" style="2" customWidth="1"/>
    <col min="5" max="5" width="9.28515625" style="2" customWidth="1"/>
    <col min="6" max="6" width="7.140625" style="2" customWidth="1"/>
    <col min="7" max="7" width="54" style="1" customWidth="1"/>
    <col min="8" max="8" width="36.7109375" style="1" customWidth="1"/>
    <col min="9" max="9" width="11.42578125" style="2" customWidth="1"/>
    <col min="10" max="10" width="12.5703125" style="2" customWidth="1"/>
    <col min="11" max="11" width="24.140625" style="2" customWidth="1"/>
    <col min="12" max="12" width="8.85546875" style="2" customWidth="1"/>
    <col min="13" max="13" width="166.5703125" style="2" customWidth="1"/>
    <col min="14" max="18" width="9.140625" style="2"/>
  </cols>
  <sheetData>
    <row r="2" spans="1:13">
      <c r="B2" s="341" t="s">
        <v>73</v>
      </c>
      <c r="C2" s="342"/>
      <c r="D2" s="356"/>
      <c r="E2" s="10" t="s">
        <v>183</v>
      </c>
      <c r="F2" s="162" t="s">
        <v>75</v>
      </c>
      <c r="G2" s="20" t="s">
        <v>184</v>
      </c>
    </row>
    <row r="4" spans="1:13">
      <c r="B4" s="357" t="s">
        <v>7</v>
      </c>
      <c r="C4" s="358"/>
      <c r="D4" s="358"/>
      <c r="E4" s="358"/>
      <c r="F4" s="358"/>
      <c r="G4" s="358"/>
      <c r="H4" s="358"/>
      <c r="I4" s="358"/>
      <c r="J4" s="358"/>
      <c r="K4" s="358"/>
      <c r="L4" s="358"/>
      <c r="M4" s="346"/>
    </row>
    <row r="5" spans="1:13">
      <c r="B5" s="181" t="s">
        <v>77</v>
      </c>
      <c r="C5" s="182" t="s">
        <v>78</v>
      </c>
      <c r="D5" s="182" t="s">
        <v>79</v>
      </c>
      <c r="E5" s="182" t="s">
        <v>80</v>
      </c>
      <c r="F5" s="182" t="s">
        <v>81</v>
      </c>
      <c r="G5" s="183" t="s">
        <v>45</v>
      </c>
      <c r="H5" s="183" t="s">
        <v>82</v>
      </c>
      <c r="I5" s="182" t="s">
        <v>83</v>
      </c>
      <c r="J5" s="182" t="s">
        <v>84</v>
      </c>
      <c r="K5" s="182" t="s">
        <v>85</v>
      </c>
      <c r="L5" s="184" t="s">
        <v>86</v>
      </c>
      <c r="M5" s="187" t="s">
        <v>87</v>
      </c>
    </row>
    <row r="6" spans="1:13">
      <c r="B6" s="57">
        <v>1</v>
      </c>
      <c r="C6" s="17">
        <v>1</v>
      </c>
      <c r="D6" s="17">
        <v>0.05</v>
      </c>
      <c r="E6" s="17">
        <v>1.31</v>
      </c>
      <c r="F6" s="10" t="str">
        <f>_xlfn.IFS(ISBLANK(E6), "AWI", C6&lt;=E6,"MOK",(C6-D6)&lt;=E6,"MCT",C6&gt;E6,"MFL")</f>
        <v>MOK</v>
      </c>
      <c r="G6" s="21" t="s">
        <v>185</v>
      </c>
      <c r="H6" s="21" t="s">
        <v>148</v>
      </c>
      <c r="I6" s="15" t="s">
        <v>90</v>
      </c>
      <c r="J6" s="15" t="s">
        <v>91</v>
      </c>
      <c r="K6" s="15" t="s">
        <v>8</v>
      </c>
      <c r="L6" s="74" t="s">
        <v>151</v>
      </c>
      <c r="M6" s="76"/>
    </row>
    <row r="7" spans="1:13">
      <c r="B7" s="57">
        <v>2</v>
      </c>
      <c r="C7" s="17">
        <v>1</v>
      </c>
      <c r="D7" s="17">
        <v>0.05</v>
      </c>
      <c r="E7" s="17">
        <v>1.73</v>
      </c>
      <c r="F7" s="10" t="str">
        <f t="shared" ref="F7:F18" si="0">_xlfn.IFS(ISBLANK(E7), "AWI", C7&lt;=E7,"MOK",(C7-D7)&lt;=E7,"MCT",C7&gt;E7,"MFL")</f>
        <v>MOK</v>
      </c>
      <c r="G7" s="21" t="s">
        <v>186</v>
      </c>
      <c r="H7" s="21" t="s">
        <v>148</v>
      </c>
      <c r="I7" s="15" t="s">
        <v>90</v>
      </c>
      <c r="J7" s="15" t="s">
        <v>91</v>
      </c>
      <c r="K7" s="15" t="s">
        <v>8</v>
      </c>
      <c r="L7" s="74" t="s">
        <v>151</v>
      </c>
      <c r="M7" s="76"/>
    </row>
    <row r="8" spans="1:13">
      <c r="B8" s="57">
        <v>3</v>
      </c>
      <c r="C8" s="17">
        <v>1</v>
      </c>
      <c r="D8" s="17">
        <v>0.05</v>
      </c>
      <c r="E8" s="17">
        <v>3.08</v>
      </c>
      <c r="F8" s="10" t="str">
        <f t="shared" si="0"/>
        <v>MOK</v>
      </c>
      <c r="G8" s="21" t="s">
        <v>187</v>
      </c>
      <c r="H8" s="21" t="s">
        <v>148</v>
      </c>
      <c r="I8" s="15" t="s">
        <v>90</v>
      </c>
      <c r="J8" s="15" t="s">
        <v>91</v>
      </c>
      <c r="K8" s="15" t="s">
        <v>8</v>
      </c>
      <c r="L8" s="74" t="s">
        <v>151</v>
      </c>
      <c r="M8" s="76"/>
    </row>
    <row r="9" spans="1:13">
      <c r="B9" s="57">
        <v>4</v>
      </c>
      <c r="C9" s="17">
        <v>1</v>
      </c>
      <c r="D9" s="17">
        <v>0.05</v>
      </c>
      <c r="E9" s="17">
        <v>2.02</v>
      </c>
      <c r="F9" s="10" t="str">
        <f t="shared" si="0"/>
        <v>MOK</v>
      </c>
      <c r="G9" s="21" t="s">
        <v>188</v>
      </c>
      <c r="H9" s="21" t="s">
        <v>148</v>
      </c>
      <c r="I9" s="15" t="s">
        <v>90</v>
      </c>
      <c r="J9" s="15" t="s">
        <v>91</v>
      </c>
      <c r="K9" s="15" t="s">
        <v>8</v>
      </c>
      <c r="L9" s="74" t="s">
        <v>151</v>
      </c>
      <c r="M9" s="76"/>
    </row>
    <row r="10" spans="1:13">
      <c r="B10" s="57">
        <v>5</v>
      </c>
      <c r="C10" s="17">
        <v>1</v>
      </c>
      <c r="D10" s="17">
        <v>0.05</v>
      </c>
      <c r="E10" s="17">
        <v>1.01</v>
      </c>
      <c r="F10" s="10" t="str">
        <f t="shared" si="0"/>
        <v>MOK</v>
      </c>
      <c r="G10" s="21" t="s">
        <v>189</v>
      </c>
      <c r="H10" s="21" t="s">
        <v>148</v>
      </c>
      <c r="I10" s="15" t="s">
        <v>90</v>
      </c>
      <c r="J10" s="15" t="s">
        <v>91</v>
      </c>
      <c r="K10" s="15" t="s">
        <v>8</v>
      </c>
      <c r="L10" s="74" t="s">
        <v>151</v>
      </c>
      <c r="M10" s="76"/>
    </row>
    <row r="11" spans="1:13">
      <c r="B11" s="57">
        <v>6</v>
      </c>
      <c r="C11" s="17">
        <v>0.8</v>
      </c>
      <c r="D11" s="17">
        <v>0.1</v>
      </c>
      <c r="E11" s="17">
        <v>0.46</v>
      </c>
      <c r="F11" s="10" t="str">
        <f t="shared" si="0"/>
        <v>MFL</v>
      </c>
      <c r="G11" s="21" t="s">
        <v>190</v>
      </c>
      <c r="H11" s="21" t="s">
        <v>148</v>
      </c>
      <c r="I11" s="15" t="s">
        <v>90</v>
      </c>
      <c r="J11" s="15" t="s">
        <v>91</v>
      </c>
      <c r="K11" s="15" t="s">
        <v>8</v>
      </c>
      <c r="L11" s="74" t="s">
        <v>151</v>
      </c>
      <c r="M11" s="76" t="s">
        <v>445</v>
      </c>
    </row>
    <row r="12" spans="1:13">
      <c r="B12" s="57">
        <v>7</v>
      </c>
      <c r="C12" s="17">
        <v>0.8</v>
      </c>
      <c r="D12" s="17">
        <v>0.1</v>
      </c>
      <c r="E12" s="17">
        <v>1.1599999999999999</v>
      </c>
      <c r="F12" s="10" t="str">
        <f t="shared" si="0"/>
        <v>MOK</v>
      </c>
      <c r="G12" s="21" t="s">
        <v>191</v>
      </c>
      <c r="H12" s="21" t="s">
        <v>148</v>
      </c>
      <c r="I12" s="15" t="s">
        <v>90</v>
      </c>
      <c r="J12" s="15" t="s">
        <v>91</v>
      </c>
      <c r="K12" s="15" t="s">
        <v>8</v>
      </c>
      <c r="L12" s="74" t="s">
        <v>151</v>
      </c>
      <c r="M12" s="76"/>
    </row>
    <row r="13" spans="1:13">
      <c r="B13" s="57">
        <v>8</v>
      </c>
      <c r="C13" s="17">
        <v>0.8</v>
      </c>
      <c r="D13" s="17">
        <v>0.1</v>
      </c>
      <c r="E13" s="17">
        <v>1.43</v>
      </c>
      <c r="F13" s="10" t="str">
        <f t="shared" si="0"/>
        <v>MOK</v>
      </c>
      <c r="G13" s="21" t="s">
        <v>192</v>
      </c>
      <c r="H13" s="21" t="s">
        <v>148</v>
      </c>
      <c r="I13" s="15" t="s">
        <v>90</v>
      </c>
      <c r="J13" s="15" t="s">
        <v>91</v>
      </c>
      <c r="K13" s="15" t="s">
        <v>8</v>
      </c>
      <c r="L13" s="74" t="s">
        <v>151</v>
      </c>
      <c r="M13" s="76"/>
    </row>
    <row r="14" spans="1:13">
      <c r="B14" s="57">
        <v>9</v>
      </c>
      <c r="C14" s="18">
        <v>0.8</v>
      </c>
      <c r="D14" s="17">
        <v>0.1</v>
      </c>
      <c r="E14" s="17">
        <v>0.61</v>
      </c>
      <c r="F14" s="10" t="str">
        <f t="shared" si="0"/>
        <v>MFL</v>
      </c>
      <c r="G14" s="21" t="s">
        <v>193</v>
      </c>
      <c r="H14" s="21" t="s">
        <v>148</v>
      </c>
      <c r="I14" s="15" t="s">
        <v>90</v>
      </c>
      <c r="J14" s="15" t="s">
        <v>91</v>
      </c>
      <c r="K14" s="15" t="s">
        <v>8</v>
      </c>
      <c r="L14" s="74" t="s">
        <v>151</v>
      </c>
      <c r="M14" s="76"/>
    </row>
    <row r="15" spans="1:13">
      <c r="B15" s="57">
        <v>10</v>
      </c>
      <c r="C15" s="18">
        <v>0.8</v>
      </c>
      <c r="D15" s="17">
        <v>0.1</v>
      </c>
      <c r="E15" s="17">
        <v>1.47</v>
      </c>
      <c r="F15" s="10" t="str">
        <f t="shared" si="0"/>
        <v>MOK</v>
      </c>
      <c r="G15" s="21" t="s">
        <v>194</v>
      </c>
      <c r="H15" s="21" t="s">
        <v>148</v>
      </c>
      <c r="I15" s="15" t="s">
        <v>90</v>
      </c>
      <c r="J15" s="15" t="s">
        <v>91</v>
      </c>
      <c r="K15" s="15" t="s">
        <v>8</v>
      </c>
      <c r="L15" s="74" t="s">
        <v>151</v>
      </c>
      <c r="M15" s="76" t="s">
        <v>442</v>
      </c>
    </row>
    <row r="16" spans="1:13">
      <c r="A16" t="s">
        <v>441</v>
      </c>
      <c r="B16" s="57">
        <v>11</v>
      </c>
      <c r="C16" s="18">
        <v>0.7</v>
      </c>
      <c r="D16" s="17">
        <v>0.05</v>
      </c>
      <c r="E16" s="17">
        <v>0.96</v>
      </c>
      <c r="F16" s="10" t="str">
        <f t="shared" si="0"/>
        <v>MOK</v>
      </c>
      <c r="G16" s="21" t="s">
        <v>195</v>
      </c>
      <c r="H16" s="21" t="s">
        <v>161</v>
      </c>
      <c r="I16" s="15" t="s">
        <v>90</v>
      </c>
      <c r="J16" s="15" t="s">
        <v>91</v>
      </c>
      <c r="K16" s="15" t="s">
        <v>18</v>
      </c>
      <c r="L16" s="74" t="s">
        <v>151</v>
      </c>
      <c r="M16" s="76"/>
    </row>
    <row r="17" spans="2:20">
      <c r="B17" s="57">
        <v>12</v>
      </c>
      <c r="C17" s="18">
        <v>1</v>
      </c>
      <c r="D17" s="17">
        <v>0.05</v>
      </c>
      <c r="E17" s="17">
        <v>1</v>
      </c>
      <c r="F17" s="10" t="str">
        <f t="shared" si="0"/>
        <v>MOK</v>
      </c>
      <c r="G17" s="21" t="s">
        <v>196</v>
      </c>
      <c r="H17" s="21" t="s">
        <v>197</v>
      </c>
      <c r="I17" s="15" t="s">
        <v>97</v>
      </c>
      <c r="J17" s="15" t="s">
        <v>166</v>
      </c>
      <c r="K17" s="15" t="s">
        <v>15</v>
      </c>
      <c r="L17" s="74" t="s">
        <v>151</v>
      </c>
      <c r="M17" s="249"/>
    </row>
    <row r="18" spans="2:20">
      <c r="B18" s="57">
        <v>13</v>
      </c>
      <c r="C18" s="18">
        <v>0.95</v>
      </c>
      <c r="D18" s="17">
        <v>0.05</v>
      </c>
      <c r="E18" s="17">
        <v>1</v>
      </c>
      <c r="F18" s="10" t="str">
        <f t="shared" si="0"/>
        <v>MOK</v>
      </c>
      <c r="G18" s="21" t="s">
        <v>198</v>
      </c>
      <c r="H18" s="21" t="s">
        <v>199</v>
      </c>
      <c r="I18" s="15" t="s">
        <v>97</v>
      </c>
      <c r="J18" s="15" t="s">
        <v>166</v>
      </c>
      <c r="K18" s="15" t="s">
        <v>15</v>
      </c>
      <c r="L18" s="74" t="s">
        <v>92</v>
      </c>
      <c r="M18" s="76"/>
    </row>
    <row r="19" spans="2:20">
      <c r="B19" s="57">
        <v>14</v>
      </c>
      <c r="C19" s="18"/>
      <c r="D19" s="18"/>
      <c r="E19" s="286"/>
      <c r="F19" s="10" t="str">
        <f>"MNO"</f>
        <v>MNO</v>
      </c>
      <c r="G19" s="21" t="s">
        <v>200</v>
      </c>
      <c r="H19" s="21" t="s">
        <v>199</v>
      </c>
      <c r="I19" s="15" t="s">
        <v>97</v>
      </c>
      <c r="J19" s="15" t="s">
        <v>166</v>
      </c>
      <c r="K19" s="15" t="s">
        <v>18</v>
      </c>
      <c r="L19" s="74" t="s">
        <v>92</v>
      </c>
      <c r="M19" s="76" t="s">
        <v>433</v>
      </c>
    </row>
    <row r="20" spans="2:20" ht="14.25" customHeight="1">
      <c r="B20" s="59">
        <v>15</v>
      </c>
      <c r="C20" s="65">
        <v>1</v>
      </c>
      <c r="D20" s="65">
        <v>0.05</v>
      </c>
      <c r="E20" s="66">
        <v>1</v>
      </c>
      <c r="F20" s="67" t="str">
        <f>_xlfn.IFS(ISBLANK(E20), "AWI", C20&lt;=E20,"MOK",(C20-D6)&lt;=E20,"MCT",C20&gt;E20,"MFL")</f>
        <v>MOK</v>
      </c>
      <c r="G20" s="62" t="s">
        <v>201</v>
      </c>
      <c r="H20" s="62" t="s">
        <v>202</v>
      </c>
      <c r="I20" s="63" t="s">
        <v>97</v>
      </c>
      <c r="J20" s="63" t="s">
        <v>91</v>
      </c>
      <c r="K20" s="63" t="s">
        <v>14</v>
      </c>
      <c r="L20" s="107" t="s">
        <v>203</v>
      </c>
      <c r="M20" s="360" t="s">
        <v>420</v>
      </c>
      <c r="N20" s="360"/>
      <c r="O20" s="360"/>
      <c r="P20" s="360"/>
      <c r="Q20" s="360"/>
      <c r="R20" s="360"/>
      <c r="S20" s="360"/>
      <c r="T20" s="360"/>
    </row>
    <row r="23" spans="2:20">
      <c r="B23" s="357" t="s">
        <v>16</v>
      </c>
      <c r="C23" s="358"/>
      <c r="D23" s="358"/>
      <c r="E23" s="358"/>
      <c r="F23" s="358"/>
      <c r="G23" s="358"/>
      <c r="H23" s="358"/>
      <c r="I23" s="358"/>
      <c r="J23" s="358"/>
      <c r="K23" s="358"/>
      <c r="L23" s="358"/>
      <c r="M23" s="359"/>
    </row>
    <row r="24" spans="2:20">
      <c r="B24" s="181" t="s">
        <v>77</v>
      </c>
      <c r="C24" s="182" t="s">
        <v>78</v>
      </c>
      <c r="D24" s="182" t="s">
        <v>132</v>
      </c>
      <c r="E24" s="182" t="s">
        <v>80</v>
      </c>
      <c r="F24" s="184" t="s">
        <v>81</v>
      </c>
      <c r="G24" s="183" t="s">
        <v>45</v>
      </c>
      <c r="H24" s="183" t="s">
        <v>82</v>
      </c>
      <c r="I24" s="182" t="s">
        <v>83</v>
      </c>
      <c r="J24" s="182" t="s">
        <v>84</v>
      </c>
      <c r="K24" s="182" t="s">
        <v>85</v>
      </c>
      <c r="L24" s="190" t="s">
        <v>86</v>
      </c>
      <c r="M24" s="191" t="s">
        <v>87</v>
      </c>
    </row>
    <row r="25" spans="2:20">
      <c r="B25" s="68">
        <v>1</v>
      </c>
      <c r="C25" s="23">
        <v>44287</v>
      </c>
      <c r="D25" s="23" t="s">
        <v>204</v>
      </c>
      <c r="E25" s="30">
        <v>44013</v>
      </c>
      <c r="F25" s="10" t="str">
        <f t="shared" ref="F25:F31" si="1">_xlfn.IFS(ISBLANK(E25), "MSU", C25&gt;=E25,"MSA",C25&lt;E25,"MOD")</f>
        <v>MSA</v>
      </c>
      <c r="G25" s="25" t="s">
        <v>205</v>
      </c>
      <c r="H25" s="21"/>
      <c r="I25" s="15"/>
      <c r="J25" s="15"/>
      <c r="K25" s="15" t="s">
        <v>14</v>
      </c>
      <c r="L25" s="74" t="s">
        <v>203</v>
      </c>
      <c r="M25" s="360" t="s">
        <v>421</v>
      </c>
      <c r="N25" s="360"/>
      <c r="O25" s="360"/>
      <c r="P25" s="360"/>
      <c r="Q25" s="360"/>
      <c r="R25" s="360"/>
      <c r="S25" s="360"/>
      <c r="T25" s="360"/>
    </row>
    <row r="26" spans="2:20">
      <c r="B26" s="68">
        <v>2</v>
      </c>
      <c r="C26" s="23">
        <v>44652</v>
      </c>
      <c r="D26" s="23" t="s">
        <v>204</v>
      </c>
      <c r="E26" s="30">
        <v>44501</v>
      </c>
      <c r="F26" s="10" t="str">
        <f t="shared" si="1"/>
        <v>MSA</v>
      </c>
      <c r="G26" s="25" t="s">
        <v>205</v>
      </c>
      <c r="H26" s="21"/>
      <c r="I26" s="15"/>
      <c r="J26" s="15"/>
      <c r="K26" s="15" t="s">
        <v>14</v>
      </c>
      <c r="L26" s="74" t="s">
        <v>203</v>
      </c>
      <c r="M26" s="76"/>
    </row>
    <row r="27" spans="2:20">
      <c r="B27" s="68">
        <v>3</v>
      </c>
      <c r="C27" s="23">
        <v>45017</v>
      </c>
      <c r="D27" s="23"/>
      <c r="E27" s="15"/>
      <c r="F27" s="10" t="str">
        <f t="shared" si="1"/>
        <v>MSU</v>
      </c>
      <c r="G27" s="25" t="s">
        <v>205</v>
      </c>
      <c r="H27" s="21"/>
      <c r="I27" s="15"/>
      <c r="J27" s="15"/>
      <c r="K27" s="15" t="s">
        <v>14</v>
      </c>
      <c r="L27" s="74" t="s">
        <v>203</v>
      </c>
      <c r="M27" s="76"/>
    </row>
    <row r="28" spans="2:20">
      <c r="B28" s="68">
        <v>4</v>
      </c>
      <c r="C28" s="23">
        <v>45383</v>
      </c>
      <c r="D28" s="23"/>
      <c r="E28" s="15"/>
      <c r="F28" s="10" t="str">
        <f t="shared" si="1"/>
        <v>MSU</v>
      </c>
      <c r="G28" s="25" t="s">
        <v>205</v>
      </c>
      <c r="H28" s="21"/>
      <c r="I28" s="15"/>
      <c r="J28" s="15"/>
      <c r="K28" s="15" t="s">
        <v>14</v>
      </c>
      <c r="L28" s="74" t="s">
        <v>203</v>
      </c>
      <c r="M28" s="76"/>
    </row>
    <row r="29" spans="2:20">
      <c r="B29" s="68">
        <v>5</v>
      </c>
      <c r="C29" s="23">
        <v>44652</v>
      </c>
      <c r="D29" s="23" t="s">
        <v>204</v>
      </c>
      <c r="E29" s="30">
        <v>44013</v>
      </c>
      <c r="F29" s="10" t="str">
        <f t="shared" si="1"/>
        <v>MSA</v>
      </c>
      <c r="G29" s="25" t="s">
        <v>206</v>
      </c>
      <c r="H29" s="21"/>
      <c r="I29" s="15"/>
      <c r="J29" s="15"/>
      <c r="K29" s="15" t="s">
        <v>14</v>
      </c>
      <c r="L29" s="74" t="s">
        <v>203</v>
      </c>
      <c r="M29" s="76"/>
    </row>
    <row r="30" spans="2:20">
      <c r="B30" s="68">
        <v>6</v>
      </c>
      <c r="C30" s="23">
        <v>45383</v>
      </c>
      <c r="D30" s="23"/>
      <c r="E30" s="15"/>
      <c r="F30" s="10" t="str">
        <f t="shared" si="1"/>
        <v>MSU</v>
      </c>
      <c r="G30" s="25" t="s">
        <v>206</v>
      </c>
      <c r="H30" s="21"/>
      <c r="I30" s="15"/>
      <c r="J30" s="15"/>
      <c r="K30" s="15" t="s">
        <v>14</v>
      </c>
      <c r="L30" s="74" t="s">
        <v>203</v>
      </c>
      <c r="M30" s="76"/>
    </row>
    <row r="31" spans="2:20">
      <c r="B31" s="69">
        <v>7</v>
      </c>
      <c r="C31" s="70">
        <v>44652</v>
      </c>
      <c r="D31" s="70"/>
      <c r="E31" s="63"/>
      <c r="F31" s="67" t="str">
        <f t="shared" si="1"/>
        <v>MSU</v>
      </c>
      <c r="G31" s="71" t="s">
        <v>207</v>
      </c>
      <c r="H31" s="62"/>
      <c r="I31" s="63"/>
      <c r="J31" s="63"/>
      <c r="K31" s="63" t="s">
        <v>14</v>
      </c>
      <c r="L31" s="107" t="s">
        <v>208</v>
      </c>
      <c r="M31" s="77"/>
    </row>
  </sheetData>
  <mergeCells count="5">
    <mergeCell ref="B2:D2"/>
    <mergeCell ref="B4:M4"/>
    <mergeCell ref="B23:M23"/>
    <mergeCell ref="M20:T20"/>
    <mergeCell ref="M25:T25"/>
  </mergeCells>
  <conditionalFormatting sqref="F20 F6:F18">
    <cfRule type="cellIs" dxfId="72" priority="11" operator="equal">
      <formula>"MCT"</formula>
    </cfRule>
    <cfRule type="cellIs" dxfId="71" priority="12" operator="equal">
      <formula>"MFL"</formula>
    </cfRule>
    <cfRule type="cellIs" dxfId="70" priority="13" operator="equal">
      <formula>"MOK"</formula>
    </cfRule>
  </conditionalFormatting>
  <conditionalFormatting sqref="F25">
    <cfRule type="cellIs" dxfId="69" priority="8" operator="equal">
      <formula>"MSU"</formula>
    </cfRule>
    <cfRule type="cellIs" dxfId="68" priority="9" operator="equal">
      <formula>"MOD"</formula>
    </cfRule>
    <cfRule type="cellIs" dxfId="67" priority="10" operator="equal">
      <formula>"MSA"</formula>
    </cfRule>
  </conditionalFormatting>
  <conditionalFormatting sqref="F26:F31">
    <cfRule type="cellIs" dxfId="66" priority="5" operator="equal">
      <formula>"MSU"</formula>
    </cfRule>
    <cfRule type="cellIs" dxfId="65" priority="6" operator="equal">
      <formula>"MOD"</formula>
    </cfRule>
    <cfRule type="cellIs" dxfId="64" priority="7" operator="equal">
      <formula>"MSA"</formula>
    </cfRule>
  </conditionalFormatting>
  <conditionalFormatting sqref="F19">
    <cfRule type="cellIs" dxfId="63" priority="2" operator="equal">
      <formula>"MCT"</formula>
    </cfRule>
    <cfRule type="cellIs" dxfId="62" priority="3" operator="equal">
      <formula>"MFL"</formula>
    </cfRule>
    <cfRule type="cellIs" dxfId="61" priority="4" operator="equal">
      <formula>"MOK"</formula>
    </cfRule>
  </conditionalFormatting>
  <conditionalFormatting sqref="F19">
    <cfRule type="cellIs" dxfId="60" priority="1" operator="equal">
      <formula>"MNO"</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FFC77-3BB8-4402-8807-BF46708AB2CB}">
  <dimension ref="B2:T78"/>
  <sheetViews>
    <sheetView topLeftCell="A33" workbookViewId="0">
      <selection activeCell="M42" sqref="M42:T42"/>
    </sheetView>
  </sheetViews>
  <sheetFormatPr defaultRowHeight="15"/>
  <cols>
    <col min="2" max="2" width="5.42578125" style="2" customWidth="1"/>
    <col min="3" max="3" width="11.140625" style="2" customWidth="1"/>
    <col min="4" max="4" width="8" style="2" customWidth="1"/>
    <col min="5" max="5" width="9.28515625" style="2" customWidth="1"/>
    <col min="6" max="6" width="7.140625" style="2" customWidth="1"/>
    <col min="7" max="7" width="70.85546875" style="1" customWidth="1"/>
    <col min="8" max="8" width="39" style="1" customWidth="1"/>
    <col min="9" max="9" width="11.42578125" style="2" customWidth="1"/>
    <col min="10" max="10" width="12.5703125" style="2" customWidth="1"/>
    <col min="11" max="11" width="24.140625" style="2" customWidth="1"/>
    <col min="12" max="12" width="8" style="2" customWidth="1"/>
    <col min="13" max="13" width="255.7109375" style="2" customWidth="1"/>
    <col min="14" max="18" width="9.140625" style="2"/>
  </cols>
  <sheetData>
    <row r="2" spans="2:20">
      <c r="B2" s="341" t="s">
        <v>73</v>
      </c>
      <c r="C2" s="342"/>
      <c r="D2" s="356"/>
      <c r="E2" s="10">
        <v>2</v>
      </c>
      <c r="F2" s="162" t="s">
        <v>75</v>
      </c>
      <c r="G2" s="20" t="s">
        <v>209</v>
      </c>
    </row>
    <row r="4" spans="2:20">
      <c r="B4" s="367" t="s">
        <v>7</v>
      </c>
      <c r="C4" s="368"/>
      <c r="D4" s="368"/>
      <c r="E4" s="368"/>
      <c r="F4" s="368"/>
      <c r="G4" s="368"/>
      <c r="H4" s="368"/>
      <c r="I4" s="368"/>
      <c r="J4" s="368"/>
      <c r="K4" s="368"/>
      <c r="L4" s="368"/>
      <c r="M4" s="369"/>
    </row>
    <row r="5" spans="2:20">
      <c r="B5" s="192" t="s">
        <v>77</v>
      </c>
      <c r="C5" s="193" t="s">
        <v>78</v>
      </c>
      <c r="D5" s="193" t="s">
        <v>79</v>
      </c>
      <c r="E5" s="193" t="s">
        <v>80</v>
      </c>
      <c r="F5" s="193" t="s">
        <v>81</v>
      </c>
      <c r="G5" s="194" t="s">
        <v>45</v>
      </c>
      <c r="H5" s="194" t="s">
        <v>82</v>
      </c>
      <c r="I5" s="193" t="s">
        <v>83</v>
      </c>
      <c r="J5" s="193" t="s">
        <v>84</v>
      </c>
      <c r="K5" s="193" t="s">
        <v>85</v>
      </c>
      <c r="L5" s="189" t="s">
        <v>86</v>
      </c>
      <c r="M5" s="189" t="s">
        <v>87</v>
      </c>
    </row>
    <row r="6" spans="2:20">
      <c r="B6" s="136">
        <v>1</v>
      </c>
      <c r="C6" s="137">
        <v>0.95</v>
      </c>
      <c r="D6" s="137">
        <v>0.05</v>
      </c>
      <c r="E6" s="336">
        <v>0.91</v>
      </c>
      <c r="F6" s="138" t="str">
        <f t="shared" ref="F6:F50" si="0">_xlfn.IFS(ISBLANK(E6), "AWI", C6&lt;=E6,"MOK",(C6-D6)&lt;=E6,"MCT",C6&gt;E6,"MFL")</f>
        <v>MCT</v>
      </c>
      <c r="G6" s="139" t="s">
        <v>210</v>
      </c>
      <c r="H6" s="140" t="s">
        <v>211</v>
      </c>
      <c r="I6" s="141" t="s">
        <v>97</v>
      </c>
      <c r="J6" s="141" t="s">
        <v>91</v>
      </c>
      <c r="K6" s="141" t="s">
        <v>212</v>
      </c>
      <c r="L6" s="159" t="s">
        <v>213</v>
      </c>
      <c r="M6" s="392" t="s">
        <v>460</v>
      </c>
      <c r="N6" s="393"/>
      <c r="O6" s="393"/>
      <c r="P6" s="393"/>
      <c r="Q6" s="393"/>
      <c r="R6" s="393"/>
      <c r="S6" s="393"/>
      <c r="T6" s="393"/>
    </row>
    <row r="7" spans="2:20">
      <c r="B7" s="57">
        <v>2</v>
      </c>
      <c r="C7" s="17">
        <v>0.98</v>
      </c>
      <c r="D7" s="17">
        <v>0.05</v>
      </c>
      <c r="E7" s="337">
        <v>0.97299999999999998</v>
      </c>
      <c r="F7" s="138" t="str">
        <f t="shared" si="0"/>
        <v>MCT</v>
      </c>
      <c r="G7" s="25" t="s">
        <v>214</v>
      </c>
      <c r="H7" s="21" t="s">
        <v>211</v>
      </c>
      <c r="I7" s="15" t="s">
        <v>97</v>
      </c>
      <c r="J7" s="15" t="s">
        <v>91</v>
      </c>
      <c r="K7" s="15" t="s">
        <v>212</v>
      </c>
      <c r="L7" s="74" t="s">
        <v>213</v>
      </c>
      <c r="M7" s="393"/>
      <c r="N7" s="393"/>
      <c r="O7" s="393"/>
      <c r="P7" s="393"/>
      <c r="Q7" s="393"/>
      <c r="R7" s="393"/>
      <c r="S7" s="393"/>
      <c r="T7" s="393"/>
    </row>
    <row r="8" spans="2:20">
      <c r="B8" s="57">
        <v>3</v>
      </c>
      <c r="C8" s="17">
        <v>0.98</v>
      </c>
      <c r="D8" s="17">
        <v>0.05</v>
      </c>
      <c r="E8" s="337">
        <v>0.98499999999999999</v>
      </c>
      <c r="F8" s="138" t="str">
        <f t="shared" si="0"/>
        <v>MOK</v>
      </c>
      <c r="G8" s="25" t="s">
        <v>215</v>
      </c>
      <c r="H8" s="21" t="s">
        <v>211</v>
      </c>
      <c r="I8" s="15" t="s">
        <v>97</v>
      </c>
      <c r="J8" s="15" t="s">
        <v>91</v>
      </c>
      <c r="K8" s="15" t="s">
        <v>212</v>
      </c>
      <c r="L8" s="74" t="s">
        <v>213</v>
      </c>
      <c r="M8" s="393"/>
      <c r="N8" s="393"/>
      <c r="O8" s="393"/>
      <c r="P8" s="393"/>
      <c r="Q8" s="393"/>
      <c r="R8" s="393"/>
      <c r="S8" s="393"/>
      <c r="T8" s="393"/>
    </row>
    <row r="9" spans="2:20">
      <c r="B9" s="57">
        <v>4</v>
      </c>
      <c r="C9" s="17">
        <v>0.95</v>
      </c>
      <c r="D9" s="17">
        <v>0.05</v>
      </c>
      <c r="E9" s="337">
        <v>0.93799999999999994</v>
      </c>
      <c r="F9" s="138" t="str">
        <f t="shared" si="0"/>
        <v>MCT</v>
      </c>
      <c r="G9" s="21" t="s">
        <v>411</v>
      </c>
      <c r="H9" s="72" t="s">
        <v>211</v>
      </c>
      <c r="I9" s="12" t="s">
        <v>97</v>
      </c>
      <c r="J9" s="15" t="s">
        <v>91</v>
      </c>
      <c r="K9" s="15" t="s">
        <v>216</v>
      </c>
      <c r="L9" s="74" t="s">
        <v>213</v>
      </c>
      <c r="M9" s="393"/>
      <c r="N9" s="393"/>
      <c r="O9" s="393"/>
      <c r="P9" s="393"/>
      <c r="Q9" s="393"/>
      <c r="R9" s="393"/>
      <c r="S9" s="393"/>
      <c r="T9" s="393"/>
    </row>
    <row r="10" spans="2:20">
      <c r="B10" s="57">
        <v>5</v>
      </c>
      <c r="C10" s="17">
        <v>0.95</v>
      </c>
      <c r="D10" s="17">
        <v>0.05</v>
      </c>
      <c r="E10" s="337">
        <v>0.97099999999999997</v>
      </c>
      <c r="F10" s="138" t="str">
        <f t="shared" si="0"/>
        <v>MOK</v>
      </c>
      <c r="G10" s="25" t="s">
        <v>217</v>
      </c>
      <c r="H10" s="21" t="s">
        <v>211</v>
      </c>
      <c r="I10" s="15" t="s">
        <v>97</v>
      </c>
      <c r="J10" s="15" t="s">
        <v>91</v>
      </c>
      <c r="K10" s="15" t="s">
        <v>216</v>
      </c>
      <c r="L10" s="74" t="s">
        <v>213</v>
      </c>
      <c r="M10" s="394"/>
      <c r="N10" s="394"/>
      <c r="O10" s="394"/>
      <c r="P10" s="394"/>
      <c r="Q10" s="394"/>
      <c r="R10" s="394"/>
      <c r="S10" s="394"/>
      <c r="T10" s="394"/>
    </row>
    <row r="11" spans="2:20">
      <c r="B11" s="57">
        <v>6</v>
      </c>
      <c r="C11" s="17">
        <v>0.95</v>
      </c>
      <c r="D11" s="17">
        <v>0.05</v>
      </c>
      <c r="E11" s="337">
        <v>0.97</v>
      </c>
      <c r="F11" s="138" t="str">
        <f t="shared" si="0"/>
        <v>MOK</v>
      </c>
      <c r="G11" s="25" t="s">
        <v>218</v>
      </c>
      <c r="H11" s="21" t="s">
        <v>211</v>
      </c>
      <c r="I11" s="15" t="s">
        <v>97</v>
      </c>
      <c r="J11" s="15" t="s">
        <v>91</v>
      </c>
      <c r="K11" s="15" t="s">
        <v>216</v>
      </c>
      <c r="L11" s="74" t="s">
        <v>213</v>
      </c>
      <c r="M11" s="393"/>
      <c r="N11" s="393"/>
      <c r="O11" s="393"/>
      <c r="P11" s="393"/>
      <c r="Q11" s="393"/>
      <c r="R11" s="393"/>
      <c r="S11" s="393"/>
      <c r="T11" s="393"/>
    </row>
    <row r="12" spans="2:20">
      <c r="B12" s="57">
        <v>7</v>
      </c>
      <c r="C12" s="17">
        <v>0.05</v>
      </c>
      <c r="D12" s="17">
        <v>0.01</v>
      </c>
      <c r="E12" s="337">
        <v>1E-4</v>
      </c>
      <c r="F12" s="138" t="str">
        <f>_xlfn.IFS(ISBLANK(E12), "AWI", C12&gt;=E12,"MOK",(C12-D12)&lt;=E12,"MCT",C12&gt;E12,"MFL")</f>
        <v>MOK</v>
      </c>
      <c r="G12" s="25" t="s">
        <v>219</v>
      </c>
      <c r="H12" s="21" t="s">
        <v>211</v>
      </c>
      <c r="I12" s="15" t="s">
        <v>97</v>
      </c>
      <c r="J12" s="15" t="s">
        <v>91</v>
      </c>
      <c r="K12" s="15" t="s">
        <v>216</v>
      </c>
      <c r="L12" s="74" t="s">
        <v>213</v>
      </c>
      <c r="M12" s="394"/>
      <c r="N12" s="394"/>
      <c r="O12" s="394"/>
      <c r="P12" s="394"/>
      <c r="Q12" s="394"/>
      <c r="R12" s="394"/>
      <c r="S12" s="394"/>
      <c r="T12" s="394"/>
    </row>
    <row r="13" spans="2:20">
      <c r="B13" s="57">
        <v>8</v>
      </c>
      <c r="C13" s="17">
        <v>0.95</v>
      </c>
      <c r="D13" s="17">
        <v>0.05</v>
      </c>
      <c r="E13" s="337">
        <v>0.90200000000000002</v>
      </c>
      <c r="F13" s="138" t="str">
        <f t="shared" si="0"/>
        <v>MCT</v>
      </c>
      <c r="G13" s="25" t="s">
        <v>220</v>
      </c>
      <c r="H13" s="21" t="s">
        <v>211</v>
      </c>
      <c r="I13" s="15" t="s">
        <v>97</v>
      </c>
      <c r="J13" s="15" t="s">
        <v>91</v>
      </c>
      <c r="K13" s="15" t="s">
        <v>216</v>
      </c>
      <c r="L13" s="74" t="s">
        <v>213</v>
      </c>
      <c r="M13" s="392"/>
      <c r="N13" s="395"/>
      <c r="O13" s="395"/>
      <c r="P13" s="395"/>
      <c r="Q13" s="395"/>
      <c r="R13" s="395"/>
      <c r="S13" s="395"/>
      <c r="T13" s="395"/>
    </row>
    <row r="14" spans="2:20">
      <c r="B14" s="57">
        <v>9</v>
      </c>
      <c r="C14" s="18">
        <v>0.95</v>
      </c>
      <c r="D14" s="18">
        <v>0.05</v>
      </c>
      <c r="E14" s="338">
        <v>0.90100000000000002</v>
      </c>
      <c r="F14" s="138" t="str">
        <f t="shared" si="0"/>
        <v>MCT</v>
      </c>
      <c r="G14" s="25" t="s">
        <v>221</v>
      </c>
      <c r="H14" s="21" t="s">
        <v>211</v>
      </c>
      <c r="I14" s="15" t="s">
        <v>97</v>
      </c>
      <c r="J14" s="15" t="s">
        <v>91</v>
      </c>
      <c r="K14" s="15" t="s">
        <v>216</v>
      </c>
      <c r="L14" s="74" t="s">
        <v>213</v>
      </c>
      <c r="M14" s="396"/>
      <c r="N14" s="395"/>
      <c r="O14" s="395"/>
      <c r="P14" s="395"/>
      <c r="Q14" s="395"/>
      <c r="R14" s="395"/>
      <c r="S14" s="395"/>
      <c r="T14" s="395"/>
    </row>
    <row r="15" spans="2:20" ht="15.75">
      <c r="B15" s="136">
        <v>10</v>
      </c>
      <c r="C15" s="142"/>
      <c r="D15" s="142"/>
      <c r="E15" s="308"/>
      <c r="F15" s="138" t="s">
        <v>49</v>
      </c>
      <c r="G15" s="139" t="s">
        <v>222</v>
      </c>
      <c r="H15" s="140" t="s">
        <v>223</v>
      </c>
      <c r="I15" s="141" t="s">
        <v>97</v>
      </c>
      <c r="J15" s="141" t="s">
        <v>91</v>
      </c>
      <c r="K15" s="141" t="s">
        <v>224</v>
      </c>
      <c r="L15" s="159" t="s">
        <v>203</v>
      </c>
      <c r="M15" s="370" t="s">
        <v>461</v>
      </c>
      <c r="N15" s="370"/>
      <c r="O15" s="370"/>
      <c r="P15" s="370"/>
      <c r="Q15" s="370"/>
      <c r="R15" s="370"/>
      <c r="S15" s="370"/>
      <c r="T15" s="370"/>
    </row>
    <row r="16" spans="2:20" ht="15.75">
      <c r="B16" s="57">
        <v>11</v>
      </c>
      <c r="C16" s="18">
        <v>0.05</v>
      </c>
      <c r="D16" s="18">
        <v>0.05</v>
      </c>
      <c r="E16" s="308">
        <v>0.08</v>
      </c>
      <c r="F16" s="138" t="s">
        <v>49</v>
      </c>
      <c r="G16" s="25" t="s">
        <v>225</v>
      </c>
      <c r="H16" s="21" t="s">
        <v>223</v>
      </c>
      <c r="I16" s="15" t="s">
        <v>97</v>
      </c>
      <c r="J16" s="15" t="s">
        <v>91</v>
      </c>
      <c r="K16" s="15" t="s">
        <v>224</v>
      </c>
      <c r="L16" s="74" t="s">
        <v>203</v>
      </c>
      <c r="M16" s="370" t="s">
        <v>462</v>
      </c>
      <c r="N16" s="370"/>
      <c r="O16" s="370"/>
      <c r="P16" s="370"/>
      <c r="Q16" s="370"/>
      <c r="R16" s="370"/>
      <c r="S16" s="370"/>
      <c r="T16" s="370"/>
    </row>
    <row r="17" spans="2:20" ht="15.75">
      <c r="B17" s="57">
        <v>12</v>
      </c>
      <c r="C17" s="18">
        <v>0.7</v>
      </c>
      <c r="D17" s="18">
        <v>0.05</v>
      </c>
      <c r="E17" s="308">
        <v>0.74</v>
      </c>
      <c r="F17" s="138" t="str">
        <f t="shared" si="0"/>
        <v>MOK</v>
      </c>
      <c r="G17" s="25" t="s">
        <v>226</v>
      </c>
      <c r="H17" s="21" t="s">
        <v>223</v>
      </c>
      <c r="I17" s="15" t="s">
        <v>97</v>
      </c>
      <c r="J17" s="15" t="s">
        <v>91</v>
      </c>
      <c r="K17" s="15" t="s">
        <v>224</v>
      </c>
      <c r="L17" s="74" t="s">
        <v>203</v>
      </c>
      <c r="M17" s="399" t="s">
        <v>463</v>
      </c>
      <c r="N17" s="398"/>
      <c r="O17" s="398"/>
      <c r="P17" s="398"/>
      <c r="Q17" s="398"/>
      <c r="R17" s="398"/>
      <c r="S17" s="398"/>
      <c r="T17" s="398"/>
    </row>
    <row r="18" spans="2:20" ht="15.75">
      <c r="B18" s="57">
        <v>13</v>
      </c>
      <c r="C18" s="18">
        <v>0.1</v>
      </c>
      <c r="D18" s="18">
        <v>0.05</v>
      </c>
      <c r="E18" s="308">
        <v>0.14000000000000001</v>
      </c>
      <c r="F18" s="138" t="s">
        <v>52</v>
      </c>
      <c r="G18" s="1" t="s">
        <v>227</v>
      </c>
      <c r="H18" s="21" t="s">
        <v>223</v>
      </c>
      <c r="I18" s="15" t="s">
        <v>97</v>
      </c>
      <c r="J18" s="15" t="s">
        <v>91</v>
      </c>
      <c r="K18" s="15" t="s">
        <v>224</v>
      </c>
      <c r="L18" s="74" t="s">
        <v>203</v>
      </c>
      <c r="M18" s="401" t="s">
        <v>464</v>
      </c>
      <c r="N18" s="400"/>
      <c r="O18" s="400"/>
      <c r="P18" s="400"/>
      <c r="Q18" s="400"/>
      <c r="R18" s="400"/>
      <c r="S18" s="400"/>
      <c r="T18" s="400"/>
    </row>
    <row r="19" spans="2:20" ht="15.75">
      <c r="B19" s="57">
        <v>14</v>
      </c>
      <c r="C19" s="18">
        <v>0.97</v>
      </c>
      <c r="D19" s="18">
        <v>0.05</v>
      </c>
      <c r="E19" s="308">
        <v>0.9</v>
      </c>
      <c r="F19" s="138" t="str">
        <f t="shared" si="0"/>
        <v>MFL</v>
      </c>
      <c r="G19" s="25" t="s">
        <v>228</v>
      </c>
      <c r="H19" s="21" t="s">
        <v>223</v>
      </c>
      <c r="I19" s="15" t="s">
        <v>97</v>
      </c>
      <c r="J19" s="15" t="s">
        <v>91</v>
      </c>
      <c r="K19" s="15" t="s">
        <v>224</v>
      </c>
      <c r="L19" s="74" t="s">
        <v>203</v>
      </c>
      <c r="M19" s="397" t="s">
        <v>465</v>
      </c>
      <c r="N19" s="402"/>
      <c r="O19" s="402"/>
      <c r="P19" s="402"/>
      <c r="Q19" s="402"/>
      <c r="R19" s="402"/>
      <c r="S19" s="402"/>
      <c r="T19" s="402"/>
    </row>
    <row r="20" spans="2:20">
      <c r="B20" s="57">
        <v>15</v>
      </c>
      <c r="C20" s="18">
        <v>0.05</v>
      </c>
      <c r="D20" s="18"/>
      <c r="E20" s="308"/>
      <c r="F20" s="10" t="str">
        <f>"MNO"</f>
        <v>MNO</v>
      </c>
      <c r="G20" s="25" t="s">
        <v>229</v>
      </c>
      <c r="H20" s="21" t="s">
        <v>223</v>
      </c>
      <c r="I20" s="15" t="s">
        <v>97</v>
      </c>
      <c r="J20" s="15" t="s">
        <v>91</v>
      </c>
      <c r="K20" s="15" t="s">
        <v>224</v>
      </c>
      <c r="L20" s="74" t="s">
        <v>203</v>
      </c>
      <c r="M20" s="403" t="s">
        <v>414</v>
      </c>
      <c r="N20" s="404"/>
      <c r="O20" s="404"/>
      <c r="P20" s="404"/>
      <c r="Q20" s="404"/>
      <c r="R20" s="404"/>
      <c r="S20" s="404"/>
      <c r="T20" s="404"/>
    </row>
    <row r="21" spans="2:20" ht="15.75">
      <c r="B21" s="57">
        <v>16</v>
      </c>
      <c r="C21" s="18">
        <v>0</v>
      </c>
      <c r="D21" s="18">
        <v>0.01</v>
      </c>
      <c r="E21" s="308">
        <v>0</v>
      </c>
      <c r="F21" s="138" t="str">
        <f t="shared" si="0"/>
        <v>MOK</v>
      </c>
      <c r="G21" s="25" t="s">
        <v>230</v>
      </c>
      <c r="H21" s="21" t="s">
        <v>223</v>
      </c>
      <c r="I21" s="15" t="s">
        <v>97</v>
      </c>
      <c r="J21" s="15" t="s">
        <v>91</v>
      </c>
      <c r="K21" s="15" t="s">
        <v>224</v>
      </c>
      <c r="L21" s="74" t="s">
        <v>203</v>
      </c>
      <c r="M21" s="371" t="s">
        <v>466</v>
      </c>
      <c r="N21" s="371"/>
      <c r="O21" s="371"/>
      <c r="P21" s="371"/>
      <c r="Q21" s="371"/>
      <c r="R21" s="371"/>
      <c r="S21" s="371"/>
      <c r="T21" s="371"/>
    </row>
    <row r="22" spans="2:20">
      <c r="B22" s="57">
        <v>17</v>
      </c>
      <c r="C22" s="18"/>
      <c r="D22" s="18"/>
      <c r="E22" s="308"/>
      <c r="F22" s="138" t="s">
        <v>49</v>
      </c>
      <c r="G22" s="25" t="s">
        <v>231</v>
      </c>
      <c r="H22" s="21" t="s">
        <v>223</v>
      </c>
      <c r="I22" s="15" t="s">
        <v>97</v>
      </c>
      <c r="J22" s="15" t="s">
        <v>91</v>
      </c>
      <c r="K22" s="15" t="s">
        <v>224</v>
      </c>
      <c r="L22" s="74" t="s">
        <v>203</v>
      </c>
      <c r="M22" s="405" t="s">
        <v>467</v>
      </c>
      <c r="N22" s="405"/>
      <c r="O22" s="405"/>
      <c r="P22" s="405"/>
      <c r="Q22" s="405"/>
      <c r="R22" s="405"/>
      <c r="S22" s="405"/>
      <c r="T22" s="405"/>
    </row>
    <row r="23" spans="2:20" ht="15.75">
      <c r="B23" s="57">
        <v>18</v>
      </c>
      <c r="C23" s="18">
        <v>0.8</v>
      </c>
      <c r="D23" s="18">
        <v>0.05</v>
      </c>
      <c r="E23" s="308">
        <v>0.96</v>
      </c>
      <c r="F23" s="138" t="str">
        <f t="shared" si="0"/>
        <v>MOK</v>
      </c>
      <c r="G23" s="25" t="s">
        <v>232</v>
      </c>
      <c r="H23" s="21" t="s">
        <v>223</v>
      </c>
      <c r="I23" s="15" t="s">
        <v>97</v>
      </c>
      <c r="J23" s="15" t="s">
        <v>91</v>
      </c>
      <c r="K23" s="15" t="s">
        <v>233</v>
      </c>
      <c r="L23" s="74" t="s">
        <v>203</v>
      </c>
      <c r="M23" s="366" t="s">
        <v>468</v>
      </c>
      <c r="N23" s="366"/>
      <c r="O23" s="366"/>
      <c r="P23" s="366"/>
      <c r="Q23" s="366"/>
      <c r="R23" s="366"/>
      <c r="S23" s="366"/>
      <c r="T23" s="366"/>
    </row>
    <row r="24" spans="2:20" ht="15.75">
      <c r="B24" s="57">
        <v>19</v>
      </c>
      <c r="C24" s="18">
        <v>0.8</v>
      </c>
      <c r="D24" s="18">
        <v>0.05</v>
      </c>
      <c r="E24" s="308">
        <v>0.96</v>
      </c>
      <c r="F24" s="138" t="str">
        <f t="shared" si="0"/>
        <v>MOK</v>
      </c>
      <c r="G24" s="25" t="s">
        <v>234</v>
      </c>
      <c r="H24" s="21" t="s">
        <v>223</v>
      </c>
      <c r="I24" s="15" t="s">
        <v>97</v>
      </c>
      <c r="J24" s="15" t="s">
        <v>91</v>
      </c>
      <c r="K24" s="15" t="s">
        <v>233</v>
      </c>
      <c r="L24" s="74" t="s">
        <v>203</v>
      </c>
      <c r="M24" s="366" t="s">
        <v>469</v>
      </c>
      <c r="N24" s="366"/>
      <c r="O24" s="366"/>
      <c r="P24" s="366"/>
      <c r="Q24" s="366"/>
      <c r="R24" s="366"/>
      <c r="S24" s="366"/>
      <c r="T24" s="366"/>
    </row>
    <row r="25" spans="2:20" ht="15.75">
      <c r="B25" s="57">
        <v>20</v>
      </c>
      <c r="C25" s="18">
        <v>0</v>
      </c>
      <c r="D25" s="18">
        <v>0.05</v>
      </c>
      <c r="E25" s="308">
        <v>0</v>
      </c>
      <c r="F25" s="138" t="str">
        <f t="shared" si="0"/>
        <v>MOK</v>
      </c>
      <c r="G25" s="25" t="s">
        <v>235</v>
      </c>
      <c r="H25" s="21" t="s">
        <v>223</v>
      </c>
      <c r="I25" s="15" t="s">
        <v>97</v>
      </c>
      <c r="J25" s="15" t="s">
        <v>91</v>
      </c>
      <c r="K25" s="15" t="s">
        <v>233</v>
      </c>
      <c r="L25" s="74" t="s">
        <v>203</v>
      </c>
      <c r="M25" s="371" t="s">
        <v>470</v>
      </c>
      <c r="N25" s="371"/>
      <c r="O25" s="371"/>
      <c r="P25" s="371"/>
      <c r="Q25" s="371"/>
      <c r="R25" s="371"/>
      <c r="S25" s="371"/>
      <c r="T25" s="371"/>
    </row>
    <row r="26" spans="2:20" ht="15.75">
      <c r="B26" s="57">
        <v>21</v>
      </c>
      <c r="C26" s="18">
        <v>0.3</v>
      </c>
      <c r="D26" s="18">
        <v>0.05</v>
      </c>
      <c r="E26" s="308">
        <v>0.28999999999999998</v>
      </c>
      <c r="F26" s="138" t="str">
        <f>_xlfn.IFS(ISBLANK(E26), "AWI", C26&gt;=E26,"MOK",(C26-D26)&gt;=E26,"MCT",C26&lt;E26,"MFL")</f>
        <v>MOK</v>
      </c>
      <c r="G26" s="25" t="s">
        <v>236</v>
      </c>
      <c r="H26" s="21" t="s">
        <v>223</v>
      </c>
      <c r="I26" s="15" t="s">
        <v>97</v>
      </c>
      <c r="J26" s="15" t="s">
        <v>91</v>
      </c>
      <c r="K26" s="15" t="s">
        <v>233</v>
      </c>
      <c r="L26" s="74" t="s">
        <v>203</v>
      </c>
      <c r="M26" s="372" t="s">
        <v>471</v>
      </c>
      <c r="N26" s="373"/>
      <c r="O26" s="373"/>
      <c r="P26" s="373"/>
      <c r="Q26" s="373"/>
      <c r="R26" s="373"/>
      <c r="S26" s="373"/>
      <c r="T26" s="373"/>
    </row>
    <row r="27" spans="2:20" ht="15.75">
      <c r="B27" s="57">
        <v>22</v>
      </c>
      <c r="C27" s="18">
        <v>0.2</v>
      </c>
      <c r="D27" s="18">
        <v>0.05</v>
      </c>
      <c r="E27" s="308">
        <v>7.0000000000000007E-2</v>
      </c>
      <c r="F27" s="138" t="str">
        <f>_xlfn.IFS(ISBLANK(E27), "AWI", C27&gt;=E27,"MOK",(C27-D27)&gt;=E27,"MCT",C27&lt;E27,"MFL")</f>
        <v>MOK</v>
      </c>
      <c r="G27" s="25" t="s">
        <v>237</v>
      </c>
      <c r="H27" s="21" t="s">
        <v>223</v>
      </c>
      <c r="I27" s="15" t="s">
        <v>97</v>
      </c>
      <c r="J27" s="15" t="s">
        <v>91</v>
      </c>
      <c r="K27" s="15" t="s">
        <v>233</v>
      </c>
      <c r="L27" s="74" t="s">
        <v>203</v>
      </c>
      <c r="M27" s="406" t="s">
        <v>472</v>
      </c>
      <c r="N27" s="406"/>
      <c r="O27" s="406"/>
      <c r="P27" s="406"/>
      <c r="Q27" s="406"/>
      <c r="R27" s="406"/>
      <c r="S27" s="406"/>
      <c r="T27" s="406"/>
    </row>
    <row r="28" spans="2:20" ht="15.75">
      <c r="B28" s="57">
        <v>23</v>
      </c>
      <c r="C28" s="18">
        <v>0.05</v>
      </c>
      <c r="D28" s="18">
        <v>0.05</v>
      </c>
      <c r="E28" s="308">
        <v>0.05</v>
      </c>
      <c r="F28" s="138" t="str">
        <f>_xlfn.IFS(ISBLANK(E28), "AWI", C28&lt;=E28,"MOK",(C28-D28)&gt;=E28,"MCT",C28&lt;E28,"MFL")</f>
        <v>MOK</v>
      </c>
      <c r="G28" s="25" t="s">
        <v>238</v>
      </c>
      <c r="H28" s="21" t="s">
        <v>223</v>
      </c>
      <c r="I28" s="15" t="s">
        <v>97</v>
      </c>
      <c r="J28" s="15" t="s">
        <v>91</v>
      </c>
      <c r="K28" s="15" t="s">
        <v>233</v>
      </c>
      <c r="L28" s="74" t="s">
        <v>203</v>
      </c>
      <c r="M28" s="366" t="s">
        <v>473</v>
      </c>
      <c r="N28" s="366"/>
      <c r="O28" s="366"/>
      <c r="P28" s="366"/>
      <c r="Q28" s="366"/>
      <c r="R28" s="366"/>
      <c r="S28" s="366"/>
      <c r="T28" s="366"/>
    </row>
    <row r="29" spans="2:20">
      <c r="B29" s="57">
        <v>24</v>
      </c>
      <c r="C29" s="18">
        <v>0.8</v>
      </c>
      <c r="D29" s="18"/>
      <c r="E29" s="309"/>
      <c r="F29" s="10" t="str">
        <f>"MNO"</f>
        <v>MNO</v>
      </c>
      <c r="G29" s="21" t="s">
        <v>239</v>
      </c>
      <c r="H29" s="21" t="s">
        <v>223</v>
      </c>
      <c r="I29" s="15" t="s">
        <v>97</v>
      </c>
      <c r="J29" s="15" t="s">
        <v>91</v>
      </c>
      <c r="K29" s="15" t="s">
        <v>233</v>
      </c>
      <c r="L29" s="74" t="s">
        <v>203</v>
      </c>
      <c r="M29" s="403" t="s">
        <v>414</v>
      </c>
      <c r="N29" s="404"/>
      <c r="O29" s="404"/>
      <c r="P29" s="404"/>
      <c r="Q29" s="404"/>
      <c r="R29" s="404"/>
      <c r="S29" s="404"/>
      <c r="T29" s="404"/>
    </row>
    <row r="30" spans="2:20">
      <c r="B30" s="136">
        <v>25</v>
      </c>
      <c r="C30" s="142">
        <v>0.9</v>
      </c>
      <c r="D30" s="142">
        <v>0.05</v>
      </c>
      <c r="E30" s="304" t="s">
        <v>441</v>
      </c>
      <c r="F30" s="138" t="str">
        <f t="shared" si="0"/>
        <v>MOK</v>
      </c>
      <c r="G30" s="140" t="s">
        <v>240</v>
      </c>
      <c r="H30" s="140" t="s">
        <v>241</v>
      </c>
      <c r="I30" s="141" t="s">
        <v>97</v>
      </c>
      <c r="J30" s="141" t="s">
        <v>91</v>
      </c>
      <c r="K30" s="141" t="s">
        <v>242</v>
      </c>
      <c r="L30" s="159" t="s">
        <v>243</v>
      </c>
      <c r="M30" s="365" t="s">
        <v>415</v>
      </c>
      <c r="N30" s="365"/>
      <c r="O30" s="365"/>
      <c r="P30" s="365"/>
      <c r="Q30" s="365"/>
      <c r="R30" s="365"/>
      <c r="S30" s="365"/>
      <c r="T30" s="365"/>
    </row>
    <row r="31" spans="2:20">
      <c r="B31" s="57">
        <v>26</v>
      </c>
      <c r="C31" s="18">
        <v>0.5</v>
      </c>
      <c r="D31" s="18">
        <v>0.05</v>
      </c>
      <c r="E31" s="304" t="s">
        <v>441</v>
      </c>
      <c r="F31" s="138" t="str">
        <f t="shared" si="0"/>
        <v>MOK</v>
      </c>
      <c r="G31" s="21" t="s">
        <v>244</v>
      </c>
      <c r="H31" s="21" t="s">
        <v>241</v>
      </c>
      <c r="I31" s="15" t="s">
        <v>97</v>
      </c>
      <c r="J31" s="15" t="s">
        <v>91</v>
      </c>
      <c r="K31" s="15" t="s">
        <v>242</v>
      </c>
      <c r="L31" s="74" t="s">
        <v>243</v>
      </c>
      <c r="M31" s="365" t="s">
        <v>416</v>
      </c>
      <c r="N31" s="365"/>
      <c r="O31" s="365"/>
      <c r="P31" s="365"/>
      <c r="Q31" s="365"/>
      <c r="R31" s="365"/>
      <c r="S31" s="365"/>
      <c r="T31" s="365"/>
    </row>
    <row r="32" spans="2:20">
      <c r="B32" s="57">
        <v>27</v>
      </c>
      <c r="C32" s="18">
        <v>0.7</v>
      </c>
      <c r="D32" s="18">
        <v>0.05</v>
      </c>
      <c r="E32" s="304" t="s">
        <v>441</v>
      </c>
      <c r="F32" s="138" t="str">
        <f t="shared" si="0"/>
        <v>MOK</v>
      </c>
      <c r="G32" s="21" t="s">
        <v>245</v>
      </c>
      <c r="H32" s="21" t="s">
        <v>241</v>
      </c>
      <c r="I32" s="15" t="s">
        <v>97</v>
      </c>
      <c r="J32" s="15" t="s">
        <v>91</v>
      </c>
      <c r="K32" s="15" t="s">
        <v>242</v>
      </c>
      <c r="L32" s="74" t="s">
        <v>243</v>
      </c>
      <c r="M32" s="365"/>
      <c r="N32" s="365"/>
      <c r="O32" s="365"/>
      <c r="P32" s="365"/>
      <c r="Q32" s="365"/>
      <c r="R32" s="365"/>
      <c r="S32" s="365"/>
      <c r="T32" s="365"/>
    </row>
    <row r="33" spans="2:20">
      <c r="B33" s="57">
        <v>28</v>
      </c>
      <c r="C33" s="18">
        <v>0.15</v>
      </c>
      <c r="D33" s="18">
        <v>0.05</v>
      </c>
      <c r="E33" s="304" t="s">
        <v>441</v>
      </c>
      <c r="F33" s="138" t="str">
        <f t="shared" si="0"/>
        <v>MOK</v>
      </c>
      <c r="G33" s="21" t="s">
        <v>246</v>
      </c>
      <c r="H33" s="21" t="s">
        <v>241</v>
      </c>
      <c r="I33" s="15" t="s">
        <v>97</v>
      </c>
      <c r="J33" s="15" t="s">
        <v>91</v>
      </c>
      <c r="K33" s="15" t="s">
        <v>242</v>
      </c>
      <c r="L33" s="74" t="s">
        <v>243</v>
      </c>
      <c r="M33" s="365"/>
      <c r="N33" s="365"/>
      <c r="O33" s="365"/>
      <c r="P33" s="365"/>
      <c r="Q33" s="365"/>
      <c r="R33" s="365"/>
      <c r="S33" s="365"/>
      <c r="T33" s="365"/>
    </row>
    <row r="34" spans="2:20">
      <c r="B34" s="57">
        <v>29</v>
      </c>
      <c r="C34" s="18">
        <v>0.5</v>
      </c>
      <c r="D34" s="18">
        <v>0.05</v>
      </c>
      <c r="E34" s="304" t="s">
        <v>441</v>
      </c>
      <c r="F34" s="138" t="str">
        <f t="shared" si="0"/>
        <v>MOK</v>
      </c>
      <c r="G34" s="21" t="s">
        <v>247</v>
      </c>
      <c r="H34" s="21" t="s">
        <v>241</v>
      </c>
      <c r="I34" s="15" t="s">
        <v>97</v>
      </c>
      <c r="J34" s="15" t="s">
        <v>91</v>
      </c>
      <c r="K34" s="15" t="s">
        <v>248</v>
      </c>
      <c r="L34" s="74" t="s">
        <v>243</v>
      </c>
      <c r="M34" s="365"/>
      <c r="N34" s="365"/>
      <c r="O34" s="365"/>
      <c r="P34" s="365"/>
      <c r="Q34" s="365"/>
      <c r="R34" s="365"/>
      <c r="S34" s="365"/>
      <c r="T34" s="365"/>
    </row>
    <row r="35" spans="2:20">
      <c r="B35" s="57">
        <v>30</v>
      </c>
      <c r="C35" s="18">
        <v>0.7</v>
      </c>
      <c r="D35" s="18">
        <v>0.05</v>
      </c>
      <c r="E35" s="304" t="s">
        <v>441</v>
      </c>
      <c r="F35" s="138" t="str">
        <f t="shared" si="0"/>
        <v>MOK</v>
      </c>
      <c r="G35" s="25" t="s">
        <v>249</v>
      </c>
      <c r="H35" s="21" t="s">
        <v>241</v>
      </c>
      <c r="I35" s="15" t="s">
        <v>97</v>
      </c>
      <c r="J35" s="15" t="s">
        <v>91</v>
      </c>
      <c r="K35" s="15" t="s">
        <v>248</v>
      </c>
      <c r="L35" s="74" t="s">
        <v>243</v>
      </c>
      <c r="M35" s="365"/>
      <c r="N35" s="365"/>
      <c r="O35" s="365"/>
      <c r="P35" s="365"/>
      <c r="Q35" s="365"/>
      <c r="R35" s="365"/>
      <c r="S35" s="365"/>
      <c r="T35" s="365"/>
    </row>
    <row r="36" spans="2:20">
      <c r="B36" s="57">
        <v>31</v>
      </c>
      <c r="C36" s="18">
        <v>0.9</v>
      </c>
      <c r="D36" s="18">
        <v>0.05</v>
      </c>
      <c r="E36" s="304" t="s">
        <v>441</v>
      </c>
      <c r="F36" s="138" t="str">
        <f t="shared" si="0"/>
        <v>MOK</v>
      </c>
      <c r="G36" s="25" t="s">
        <v>250</v>
      </c>
      <c r="H36" s="21" t="s">
        <v>241</v>
      </c>
      <c r="I36" s="15" t="s">
        <v>97</v>
      </c>
      <c r="J36" s="15" t="s">
        <v>91</v>
      </c>
      <c r="K36" s="15" t="s">
        <v>248</v>
      </c>
      <c r="L36" s="74" t="s">
        <v>243</v>
      </c>
      <c r="M36" s="361"/>
      <c r="N36" s="365"/>
      <c r="O36" s="365"/>
      <c r="P36" s="365"/>
      <c r="Q36" s="365"/>
      <c r="R36" s="365"/>
      <c r="S36" s="365"/>
      <c r="T36" s="365"/>
    </row>
    <row r="37" spans="2:20">
      <c r="B37" s="57">
        <v>32</v>
      </c>
      <c r="C37" s="18">
        <v>0.9</v>
      </c>
      <c r="D37" s="18">
        <v>0.05</v>
      </c>
      <c r="E37" s="305" t="s">
        <v>441</v>
      </c>
      <c r="F37" s="141" t="str">
        <f t="shared" si="0"/>
        <v>MOK</v>
      </c>
      <c r="G37" s="25" t="s">
        <v>251</v>
      </c>
      <c r="H37" s="21" t="s">
        <v>241</v>
      </c>
      <c r="I37" s="15" t="s">
        <v>97</v>
      </c>
      <c r="J37" s="15" t="s">
        <v>91</v>
      </c>
      <c r="K37" s="15" t="s">
        <v>248</v>
      </c>
      <c r="L37" s="74" t="s">
        <v>243</v>
      </c>
      <c r="M37" s="365"/>
      <c r="N37" s="365"/>
      <c r="O37" s="365"/>
      <c r="P37" s="365"/>
      <c r="Q37" s="365"/>
      <c r="R37" s="365"/>
      <c r="S37" s="365"/>
      <c r="T37" s="365"/>
    </row>
    <row r="38" spans="2:20">
      <c r="B38" s="87">
        <v>33</v>
      </c>
      <c r="C38" s="266">
        <v>0.9</v>
      </c>
      <c r="D38" s="266">
        <v>0.4</v>
      </c>
      <c r="E38" s="269">
        <v>1.1299999999999999</v>
      </c>
      <c r="F38" s="272" t="str">
        <f t="shared" si="0"/>
        <v>MOK</v>
      </c>
      <c r="G38" s="82" t="s">
        <v>246</v>
      </c>
      <c r="H38" s="86" t="s">
        <v>252</v>
      </c>
      <c r="I38" s="87" t="s">
        <v>97</v>
      </c>
      <c r="J38" s="87" t="s">
        <v>91</v>
      </c>
      <c r="K38" s="87" t="s">
        <v>253</v>
      </c>
      <c r="L38" s="75" t="s">
        <v>254</v>
      </c>
      <c r="M38" s="409" t="s">
        <v>474</v>
      </c>
      <c r="N38" s="407"/>
      <c r="O38" s="407"/>
      <c r="P38" s="407"/>
      <c r="Q38" s="407"/>
      <c r="R38" s="407"/>
      <c r="S38" s="407"/>
      <c r="T38" s="407"/>
    </row>
    <row r="39" spans="2:20">
      <c r="B39" s="68">
        <v>34</v>
      </c>
      <c r="C39" s="267">
        <v>0.7</v>
      </c>
      <c r="D39" s="267">
        <v>0.2</v>
      </c>
      <c r="E39" s="270">
        <v>0.95</v>
      </c>
      <c r="F39" s="272" t="str">
        <f t="shared" si="0"/>
        <v>MOK</v>
      </c>
      <c r="G39" s="83" t="s">
        <v>255</v>
      </c>
      <c r="H39" s="84" t="s">
        <v>252</v>
      </c>
      <c r="I39" s="68" t="s">
        <v>97</v>
      </c>
      <c r="J39" s="68" t="s">
        <v>91</v>
      </c>
      <c r="K39" s="68" t="s">
        <v>253</v>
      </c>
      <c r="L39" s="76" t="s">
        <v>254</v>
      </c>
      <c r="M39" s="409" t="s">
        <v>475</v>
      </c>
      <c r="N39" s="407"/>
      <c r="O39" s="407"/>
      <c r="P39" s="407"/>
      <c r="Q39" s="407"/>
      <c r="R39" s="407"/>
      <c r="S39" s="407"/>
      <c r="T39" s="407"/>
    </row>
    <row r="40" spans="2:20">
      <c r="B40" s="68">
        <v>35</v>
      </c>
      <c r="C40" s="267">
        <v>0.9</v>
      </c>
      <c r="D40" s="267">
        <v>0.2</v>
      </c>
      <c r="E40" s="270">
        <v>1.04</v>
      </c>
      <c r="F40" s="272" t="str">
        <f t="shared" si="0"/>
        <v>MOK</v>
      </c>
      <c r="G40" s="84" t="s">
        <v>256</v>
      </c>
      <c r="H40" s="84" t="s">
        <v>252</v>
      </c>
      <c r="I40" s="68" t="s">
        <v>97</v>
      </c>
      <c r="J40" s="68" t="s">
        <v>91</v>
      </c>
      <c r="K40" s="68" t="s">
        <v>253</v>
      </c>
      <c r="L40" s="76" t="s">
        <v>254</v>
      </c>
      <c r="M40" s="408" t="s">
        <v>476</v>
      </c>
      <c r="N40" s="410"/>
      <c r="O40" s="410"/>
      <c r="P40" s="410"/>
      <c r="Q40" s="410"/>
      <c r="R40" s="410"/>
      <c r="S40" s="410"/>
      <c r="T40" s="411"/>
    </row>
    <row r="41" spans="2:20">
      <c r="B41" s="68">
        <v>36</v>
      </c>
      <c r="C41" s="267">
        <v>0.95</v>
      </c>
      <c r="D41" s="267">
        <v>0.4</v>
      </c>
      <c r="E41" s="270">
        <v>1.51</v>
      </c>
      <c r="F41" s="272" t="str">
        <f>_xlfn.IFS(ISBLANK(E41), "AWI", C41&lt;=E41,"MOK",(C41-D41)&lt;=E41,"MCT",C41&gt;E41,"MFL")</f>
        <v>MOK</v>
      </c>
      <c r="G41" s="84" t="s">
        <v>257</v>
      </c>
      <c r="H41" s="84" t="s">
        <v>252</v>
      </c>
      <c r="I41" s="68" t="s">
        <v>97</v>
      </c>
      <c r="J41" s="68" t="s">
        <v>91</v>
      </c>
      <c r="K41" s="68" t="s">
        <v>258</v>
      </c>
      <c r="L41" s="76" t="s">
        <v>254</v>
      </c>
      <c r="M41" s="410" t="s">
        <v>477</v>
      </c>
      <c r="N41" s="412"/>
      <c r="O41" s="412"/>
      <c r="P41" s="412"/>
      <c r="Q41" s="412"/>
      <c r="R41" s="412"/>
      <c r="S41" s="412"/>
      <c r="T41" s="413"/>
    </row>
    <row r="42" spans="2:20">
      <c r="B42" s="69">
        <v>37</v>
      </c>
      <c r="C42" s="268">
        <v>0.7</v>
      </c>
      <c r="D42" s="268">
        <v>0.1</v>
      </c>
      <c r="E42" s="271">
        <v>0.85</v>
      </c>
      <c r="F42" s="272" t="str">
        <f>_xlfn.IFS(ISBLANK(E42), "AWI", C42&lt;=E42,"MOK",(C42-D42)&lt;=E42,"MCT",C42&gt;E42,"MFL")</f>
        <v>MOK</v>
      </c>
      <c r="G42" s="85" t="s">
        <v>259</v>
      </c>
      <c r="H42" s="85" t="s">
        <v>252</v>
      </c>
      <c r="I42" s="69" t="s">
        <v>97</v>
      </c>
      <c r="J42" s="69" t="s">
        <v>91</v>
      </c>
      <c r="K42" s="69" t="s">
        <v>260</v>
      </c>
      <c r="L42" s="77" t="s">
        <v>254</v>
      </c>
      <c r="M42" s="414"/>
      <c r="N42" s="415"/>
      <c r="O42" s="415"/>
      <c r="P42" s="415"/>
      <c r="Q42" s="415"/>
      <c r="R42" s="415"/>
      <c r="S42" s="415"/>
      <c r="T42" s="416"/>
    </row>
    <row r="43" spans="2:20">
      <c r="B43" s="57">
        <v>38</v>
      </c>
      <c r="C43" s="18">
        <v>0.7</v>
      </c>
      <c r="D43" s="18">
        <v>0.2</v>
      </c>
      <c r="E43" s="308">
        <v>0.46</v>
      </c>
      <c r="F43" s="16" t="str">
        <f t="shared" si="0"/>
        <v>MFL</v>
      </c>
      <c r="G43" s="274" t="s">
        <v>261</v>
      </c>
      <c r="H43" s="21" t="s">
        <v>262</v>
      </c>
      <c r="I43" s="15" t="s">
        <v>97</v>
      </c>
      <c r="J43" s="15" t="s">
        <v>91</v>
      </c>
      <c r="K43" s="15" t="s">
        <v>263</v>
      </c>
      <c r="L43" s="74" t="s">
        <v>254</v>
      </c>
      <c r="M43" s="419" t="s">
        <v>478</v>
      </c>
      <c r="N43" s="417"/>
      <c r="O43" s="417"/>
      <c r="P43" s="417"/>
      <c r="Q43" s="417"/>
      <c r="R43" s="417"/>
      <c r="S43" s="417"/>
      <c r="T43" s="417"/>
    </row>
    <row r="44" spans="2:20">
      <c r="B44" s="57">
        <v>39</v>
      </c>
      <c r="C44" s="18">
        <v>0.7</v>
      </c>
      <c r="D44" s="18">
        <v>0.2</v>
      </c>
      <c r="E44" s="308">
        <v>0.36</v>
      </c>
      <c r="F44" s="138" t="str">
        <f t="shared" si="0"/>
        <v>MFL</v>
      </c>
      <c r="G44" s="160" t="s">
        <v>264</v>
      </c>
      <c r="H44" s="21" t="s">
        <v>262</v>
      </c>
      <c r="I44" s="15" t="s">
        <v>97</v>
      </c>
      <c r="J44" s="15" t="s">
        <v>91</v>
      </c>
      <c r="K44" s="15" t="s">
        <v>263</v>
      </c>
      <c r="L44" s="74" t="s">
        <v>254</v>
      </c>
      <c r="M44" s="414" t="s">
        <v>479</v>
      </c>
      <c r="N44" s="415"/>
      <c r="O44" s="415"/>
      <c r="P44" s="415"/>
      <c r="Q44" s="415"/>
      <c r="R44" s="415"/>
      <c r="S44" s="415"/>
      <c r="T44" s="416"/>
    </row>
    <row r="45" spans="2:20">
      <c r="B45" s="57">
        <v>40</v>
      </c>
      <c r="C45" s="18">
        <v>0.75</v>
      </c>
      <c r="D45" s="18">
        <v>0.25</v>
      </c>
      <c r="E45" s="308">
        <v>0.48</v>
      </c>
      <c r="F45" s="138" t="str">
        <f t="shared" si="0"/>
        <v>MFL</v>
      </c>
      <c r="G45" s="274" t="s">
        <v>265</v>
      </c>
      <c r="H45" s="21" t="s">
        <v>266</v>
      </c>
      <c r="I45" s="15" t="s">
        <v>97</v>
      </c>
      <c r="J45" s="15" t="s">
        <v>91</v>
      </c>
      <c r="K45" s="15" t="s">
        <v>263</v>
      </c>
      <c r="L45" s="74" t="s">
        <v>254</v>
      </c>
      <c r="M45" s="418" t="s">
        <v>480</v>
      </c>
      <c r="N45" s="420"/>
      <c r="O45" s="420"/>
      <c r="P45" s="420"/>
      <c r="Q45" s="420"/>
      <c r="R45" s="420"/>
      <c r="S45" s="420"/>
      <c r="T45" s="421"/>
    </row>
    <row r="46" spans="2:20">
      <c r="B46" s="57">
        <v>41</v>
      </c>
      <c r="C46" s="18">
        <v>0.7</v>
      </c>
      <c r="D46" s="18">
        <v>0.2</v>
      </c>
      <c r="E46" s="308">
        <v>0.79</v>
      </c>
      <c r="F46" s="138" t="str">
        <f t="shared" si="0"/>
        <v>MOK</v>
      </c>
      <c r="G46" s="160" t="s">
        <v>267</v>
      </c>
      <c r="H46" s="21" t="s">
        <v>266</v>
      </c>
      <c r="I46" s="15" t="s">
        <v>97</v>
      </c>
      <c r="J46" s="15" t="s">
        <v>91</v>
      </c>
      <c r="K46" s="15" t="s">
        <v>263</v>
      </c>
      <c r="L46" s="74" t="s">
        <v>254</v>
      </c>
      <c r="M46" s="312"/>
      <c r="N46" s="310"/>
      <c r="O46" s="310"/>
      <c r="P46" s="310"/>
      <c r="Q46" s="310"/>
      <c r="R46" s="310"/>
      <c r="S46" s="310"/>
      <c r="T46" s="311"/>
    </row>
    <row r="47" spans="2:20">
      <c r="B47" s="57">
        <v>42</v>
      </c>
      <c r="C47" s="18">
        <v>0.7</v>
      </c>
      <c r="D47" s="18">
        <v>0.2</v>
      </c>
      <c r="E47" s="308">
        <v>0.57999999999999996</v>
      </c>
      <c r="F47" s="138" t="str">
        <f t="shared" si="0"/>
        <v>MCT</v>
      </c>
      <c r="G47" s="274" t="s">
        <v>268</v>
      </c>
      <c r="H47" s="21" t="s">
        <v>262</v>
      </c>
      <c r="I47" s="15" t="s">
        <v>97</v>
      </c>
      <c r="J47" s="15" t="s">
        <v>91</v>
      </c>
      <c r="K47" s="15" t="s">
        <v>269</v>
      </c>
      <c r="L47" s="74" t="s">
        <v>254</v>
      </c>
      <c r="M47" s="313"/>
      <c r="N47" s="314"/>
      <c r="O47" s="314"/>
      <c r="P47" s="314"/>
      <c r="Q47" s="314"/>
      <c r="R47" s="314"/>
      <c r="S47" s="314"/>
      <c r="T47" s="314"/>
    </row>
    <row r="48" spans="2:20">
      <c r="B48" s="57">
        <v>43</v>
      </c>
      <c r="C48" s="18">
        <v>0.7</v>
      </c>
      <c r="D48" s="18">
        <v>0.25</v>
      </c>
      <c r="E48" s="308">
        <v>0.69</v>
      </c>
      <c r="F48" s="138" t="str">
        <f t="shared" si="0"/>
        <v>MCT</v>
      </c>
      <c r="G48" s="160" t="s">
        <v>270</v>
      </c>
      <c r="H48" s="21" t="s">
        <v>262</v>
      </c>
      <c r="I48" s="15" t="s">
        <v>97</v>
      </c>
      <c r="J48" s="15" t="s">
        <v>91</v>
      </c>
      <c r="K48" s="15" t="s">
        <v>269</v>
      </c>
      <c r="L48" s="74" t="s">
        <v>254</v>
      </c>
      <c r="M48" s="362" t="s">
        <v>422</v>
      </c>
      <c r="N48" s="363"/>
      <c r="O48" s="363"/>
      <c r="P48" s="363"/>
      <c r="Q48" s="363"/>
      <c r="R48" s="363"/>
      <c r="S48" s="363"/>
      <c r="T48" s="364"/>
    </row>
    <row r="49" spans="2:13">
      <c r="B49" s="57"/>
      <c r="C49" s="18"/>
      <c r="D49" s="18"/>
      <c r="E49" s="17"/>
      <c r="F49" s="138" t="str">
        <f t="shared" si="0"/>
        <v>AWI</v>
      </c>
      <c r="G49" s="274" t="s">
        <v>271</v>
      </c>
      <c r="H49" s="21"/>
      <c r="I49" s="15"/>
      <c r="J49" s="15"/>
      <c r="K49" s="15"/>
      <c r="L49" s="74" t="s">
        <v>254</v>
      </c>
      <c r="M49" s="76"/>
    </row>
    <row r="50" spans="2:13">
      <c r="B50" s="59"/>
      <c r="C50" s="65"/>
      <c r="D50" s="65"/>
      <c r="E50" s="66"/>
      <c r="F50" s="161" t="str">
        <f t="shared" si="0"/>
        <v>AWI</v>
      </c>
      <c r="G50" s="277" t="s">
        <v>271</v>
      </c>
      <c r="H50" s="62"/>
      <c r="I50" s="63"/>
      <c r="J50" s="63"/>
      <c r="K50" s="63"/>
      <c r="L50" s="107" t="s">
        <v>254</v>
      </c>
      <c r="M50" s="77"/>
    </row>
    <row r="53" spans="2:13">
      <c r="B53" s="357" t="s">
        <v>16</v>
      </c>
      <c r="C53" s="358"/>
      <c r="D53" s="358"/>
      <c r="E53" s="358"/>
      <c r="F53" s="358"/>
      <c r="G53" s="358"/>
      <c r="H53" s="358"/>
      <c r="I53" s="358"/>
      <c r="J53" s="358"/>
      <c r="K53" s="358"/>
      <c r="L53" s="358"/>
      <c r="M53" s="346"/>
    </row>
    <row r="54" spans="2:13">
      <c r="B54" s="197" t="s">
        <v>77</v>
      </c>
      <c r="C54" s="327" t="s">
        <v>78</v>
      </c>
      <c r="D54" s="168" t="s">
        <v>132</v>
      </c>
      <c r="E54" s="198" t="s">
        <v>80</v>
      </c>
      <c r="F54" s="328" t="s">
        <v>81</v>
      </c>
      <c r="G54" s="199" t="s">
        <v>45</v>
      </c>
      <c r="H54" s="199" t="s">
        <v>82</v>
      </c>
      <c r="I54" s="197" t="s">
        <v>83</v>
      </c>
      <c r="J54" s="197" t="s">
        <v>84</v>
      </c>
      <c r="K54" s="197" t="s">
        <v>85</v>
      </c>
      <c r="L54" s="328" t="s">
        <v>86</v>
      </c>
      <c r="M54" s="187" t="s">
        <v>87</v>
      </c>
    </row>
    <row r="55" spans="2:13">
      <c r="B55" s="75">
        <v>1</v>
      </c>
      <c r="C55" s="78">
        <v>44166</v>
      </c>
      <c r="D55" s="155" t="s">
        <v>204</v>
      </c>
      <c r="E55" s="156">
        <v>44136</v>
      </c>
      <c r="F55" s="143" t="str">
        <f>_xlfn.IFS(ISBLANK(E55), "MSU", C55&gt;=E55,"MSA",C55&lt;E55,"MOD")</f>
        <v>MSA</v>
      </c>
      <c r="G55" s="82" t="s">
        <v>272</v>
      </c>
      <c r="H55" s="86"/>
      <c r="I55" s="87"/>
      <c r="J55" s="87"/>
      <c r="K55" s="87" t="s">
        <v>273</v>
      </c>
      <c r="L55" s="87" t="s">
        <v>213</v>
      </c>
      <c r="M55" s="76"/>
    </row>
    <row r="56" spans="2:13">
      <c r="B56" s="76">
        <v>2</v>
      </c>
      <c r="C56" s="73">
        <v>44531</v>
      </c>
      <c r="D56" s="125" t="s">
        <v>204</v>
      </c>
      <c r="E56" s="307">
        <v>44501</v>
      </c>
      <c r="F56" s="41" t="str">
        <f>_xlfn.IFS(ISBLANK(E56), "MSU", C56&gt;=E56,"MSA",C56&lt;E56,"MOD")</f>
        <v>MSA</v>
      </c>
      <c r="G56" s="83" t="s">
        <v>272</v>
      </c>
      <c r="H56" s="84"/>
      <c r="I56" s="68"/>
      <c r="J56" s="68"/>
      <c r="K56" s="68" t="s">
        <v>273</v>
      </c>
      <c r="L56" s="68" t="s">
        <v>213</v>
      </c>
      <c r="M56" s="76"/>
    </row>
    <row r="57" spans="2:13">
      <c r="B57" s="76">
        <v>3</v>
      </c>
      <c r="C57" s="73">
        <v>44896</v>
      </c>
      <c r="D57" s="125"/>
      <c r="E57" s="58"/>
      <c r="F57" s="41" t="str">
        <f t="shared" ref="F57:F78" si="1">_xlfn.IFS(ISBLANK(E57), "MSU", C57&gt;=E57,"MSA",C57&lt;E57,"MOD")</f>
        <v>MSU</v>
      </c>
      <c r="G57" s="83" t="s">
        <v>272</v>
      </c>
      <c r="H57" s="84"/>
      <c r="I57" s="68"/>
      <c r="J57" s="68"/>
      <c r="K57" s="68" t="s">
        <v>273</v>
      </c>
      <c r="L57" s="68" t="s">
        <v>213</v>
      </c>
      <c r="M57" s="76"/>
    </row>
    <row r="58" spans="2:13">
      <c r="B58" s="76">
        <v>4</v>
      </c>
      <c r="C58" s="73">
        <v>45261</v>
      </c>
      <c r="D58" s="125"/>
      <c r="E58" s="58"/>
      <c r="F58" s="42" t="str">
        <f t="shared" si="1"/>
        <v>MSU</v>
      </c>
      <c r="G58" s="83" t="s">
        <v>272</v>
      </c>
      <c r="H58" s="84"/>
      <c r="I58" s="68"/>
      <c r="J58" s="68"/>
      <c r="K58" s="68" t="s">
        <v>273</v>
      </c>
      <c r="L58" s="68" t="s">
        <v>213</v>
      </c>
      <c r="M58" s="76"/>
    </row>
    <row r="59" spans="2:13">
      <c r="B59" s="149">
        <v>5</v>
      </c>
      <c r="C59" s="78">
        <v>44166</v>
      </c>
      <c r="D59" s="155" t="s">
        <v>204</v>
      </c>
      <c r="E59" s="306">
        <v>44136</v>
      </c>
      <c r="F59" s="150" t="str">
        <f t="shared" si="1"/>
        <v>MSA</v>
      </c>
      <c r="G59" s="151" t="s">
        <v>274</v>
      </c>
      <c r="H59" s="152"/>
      <c r="I59" s="153"/>
      <c r="J59" s="153"/>
      <c r="K59" s="153" t="s">
        <v>275</v>
      </c>
      <c r="L59" s="153" t="s">
        <v>203</v>
      </c>
      <c r="M59" s="76"/>
    </row>
    <row r="60" spans="2:13">
      <c r="B60" s="144">
        <v>6</v>
      </c>
      <c r="C60" s="73">
        <v>44531</v>
      </c>
      <c r="D60" s="125" t="s">
        <v>204</v>
      </c>
      <c r="E60" s="158">
        <v>44136</v>
      </c>
      <c r="F60" s="148" t="str">
        <f t="shared" si="1"/>
        <v>MSA</v>
      </c>
      <c r="G60" s="145" t="s">
        <v>274</v>
      </c>
      <c r="H60" s="146"/>
      <c r="I60" s="147"/>
      <c r="J60" s="147"/>
      <c r="K60" s="147" t="s">
        <v>275</v>
      </c>
      <c r="L60" s="147" t="s">
        <v>203</v>
      </c>
      <c r="M60" s="76"/>
    </row>
    <row r="61" spans="2:13">
      <c r="B61" s="144">
        <v>7</v>
      </c>
      <c r="C61" s="73">
        <v>44896</v>
      </c>
      <c r="D61" s="125"/>
      <c r="E61" s="157"/>
      <c r="F61" s="148" t="str">
        <f t="shared" si="1"/>
        <v>MSU</v>
      </c>
      <c r="G61" s="145" t="s">
        <v>274</v>
      </c>
      <c r="H61" s="146"/>
      <c r="I61" s="147"/>
      <c r="J61" s="147"/>
      <c r="K61" s="147" t="s">
        <v>275</v>
      </c>
      <c r="L61" s="147" t="s">
        <v>203</v>
      </c>
      <c r="M61" s="76"/>
    </row>
    <row r="62" spans="2:13">
      <c r="B62" s="144">
        <v>8</v>
      </c>
      <c r="C62" s="73">
        <v>45261</v>
      </c>
      <c r="D62" s="125"/>
      <c r="E62" s="157"/>
      <c r="F62" s="154" t="str">
        <f t="shared" si="1"/>
        <v>MSU</v>
      </c>
      <c r="G62" s="145" t="s">
        <v>274</v>
      </c>
      <c r="H62" s="146"/>
      <c r="I62" s="147"/>
      <c r="J62" s="147"/>
      <c r="K62" s="147" t="s">
        <v>275</v>
      </c>
      <c r="L62" s="147" t="s">
        <v>203</v>
      </c>
      <c r="M62" s="76"/>
    </row>
    <row r="63" spans="2:13">
      <c r="B63" s="149">
        <v>9</v>
      </c>
      <c r="C63" s="78">
        <v>44166</v>
      </c>
      <c r="D63" s="155" t="s">
        <v>276</v>
      </c>
      <c r="E63" s="306">
        <v>44136</v>
      </c>
      <c r="F63" s="150" t="str">
        <f t="shared" si="1"/>
        <v>MSA</v>
      </c>
      <c r="G63" s="151" t="s">
        <v>277</v>
      </c>
      <c r="H63" s="152"/>
      <c r="I63" s="153"/>
      <c r="J63" s="153"/>
      <c r="K63" s="153" t="s">
        <v>278</v>
      </c>
      <c r="L63" s="153" t="s">
        <v>243</v>
      </c>
      <c r="M63" s="76"/>
    </row>
    <row r="64" spans="2:13">
      <c r="B64" s="144">
        <v>10</v>
      </c>
      <c r="C64" s="73">
        <v>44531</v>
      </c>
      <c r="D64" s="125" t="s">
        <v>204</v>
      </c>
      <c r="E64" s="158">
        <v>44136</v>
      </c>
      <c r="F64" s="148" t="str">
        <f t="shared" si="1"/>
        <v>MSA</v>
      </c>
      <c r="G64" s="145" t="s">
        <v>277</v>
      </c>
      <c r="H64" s="146"/>
      <c r="I64" s="147"/>
      <c r="J64" s="147"/>
      <c r="K64" s="147" t="s">
        <v>278</v>
      </c>
      <c r="L64" s="147" t="s">
        <v>243</v>
      </c>
      <c r="M64" s="76"/>
    </row>
    <row r="65" spans="2:13">
      <c r="B65" s="144">
        <v>11</v>
      </c>
      <c r="C65" s="73">
        <v>44896</v>
      </c>
      <c r="D65" s="125"/>
      <c r="E65" s="157"/>
      <c r="F65" s="148" t="str">
        <f t="shared" si="1"/>
        <v>MSU</v>
      </c>
      <c r="G65" s="146" t="s">
        <v>277</v>
      </c>
      <c r="H65" s="146"/>
      <c r="I65" s="147"/>
      <c r="J65" s="147"/>
      <c r="K65" s="147" t="s">
        <v>278</v>
      </c>
      <c r="L65" s="147" t="s">
        <v>243</v>
      </c>
      <c r="M65" s="76"/>
    </row>
    <row r="66" spans="2:13">
      <c r="B66" s="144">
        <v>12</v>
      </c>
      <c r="C66" s="73">
        <v>45261</v>
      </c>
      <c r="D66" s="125"/>
      <c r="E66" s="157"/>
      <c r="F66" s="154" t="str">
        <f t="shared" si="1"/>
        <v>MSU</v>
      </c>
      <c r="G66" s="146" t="s">
        <v>277</v>
      </c>
      <c r="H66" s="146"/>
      <c r="I66" s="147"/>
      <c r="J66" s="147"/>
      <c r="K66" s="147" t="s">
        <v>278</v>
      </c>
      <c r="L66" s="147" t="s">
        <v>243</v>
      </c>
      <c r="M66" s="76"/>
    </row>
    <row r="67" spans="2:13">
      <c r="B67" s="75">
        <v>13</v>
      </c>
      <c r="C67" s="78">
        <v>44166</v>
      </c>
      <c r="D67" s="155" t="s">
        <v>276</v>
      </c>
      <c r="E67" s="156">
        <v>44136</v>
      </c>
      <c r="F67" s="143" t="str">
        <f t="shared" si="1"/>
        <v>MSA</v>
      </c>
      <c r="G67" s="86" t="s">
        <v>279</v>
      </c>
      <c r="H67" s="86"/>
      <c r="I67" s="87"/>
      <c r="J67" s="87"/>
      <c r="K67" s="87" t="s">
        <v>280</v>
      </c>
      <c r="L67" s="87" t="s">
        <v>149</v>
      </c>
      <c r="M67" s="76"/>
    </row>
    <row r="68" spans="2:13">
      <c r="B68" s="76">
        <v>14</v>
      </c>
      <c r="C68" s="73">
        <v>44531</v>
      </c>
      <c r="D68" s="125" t="s">
        <v>204</v>
      </c>
      <c r="E68" s="307">
        <v>44136</v>
      </c>
      <c r="F68" s="41" t="str">
        <f t="shared" si="1"/>
        <v>MSA</v>
      </c>
      <c r="G68" s="84" t="s">
        <v>279</v>
      </c>
      <c r="H68" s="84"/>
      <c r="I68" s="68"/>
      <c r="J68" s="68"/>
      <c r="K68" s="68" t="s">
        <v>280</v>
      </c>
      <c r="L68" s="68" t="s">
        <v>149</v>
      </c>
      <c r="M68" s="76"/>
    </row>
    <row r="69" spans="2:13">
      <c r="B69" s="76">
        <v>15</v>
      </c>
      <c r="C69" s="73">
        <v>44896</v>
      </c>
      <c r="D69" s="125"/>
      <c r="E69" s="58"/>
      <c r="F69" s="41" t="str">
        <f t="shared" si="1"/>
        <v>MSU</v>
      </c>
      <c r="G69" s="84" t="s">
        <v>279</v>
      </c>
      <c r="H69" s="84"/>
      <c r="I69" s="68"/>
      <c r="J69" s="68"/>
      <c r="K69" s="68" t="s">
        <v>280</v>
      </c>
      <c r="L69" s="68" t="s">
        <v>149</v>
      </c>
      <c r="M69" s="76"/>
    </row>
    <row r="70" spans="2:13">
      <c r="B70" s="77">
        <v>16</v>
      </c>
      <c r="C70" s="79">
        <v>45261</v>
      </c>
      <c r="D70" s="126"/>
      <c r="E70" s="64"/>
      <c r="F70" s="106" t="str">
        <f t="shared" si="1"/>
        <v>MSU</v>
      </c>
      <c r="G70" s="85" t="s">
        <v>279</v>
      </c>
      <c r="H70" s="85"/>
      <c r="I70" s="69"/>
      <c r="J70" s="69"/>
      <c r="K70" s="69" t="s">
        <v>280</v>
      </c>
      <c r="L70" s="69" t="s">
        <v>149</v>
      </c>
      <c r="M70" s="76"/>
    </row>
    <row r="71" spans="2:13">
      <c r="B71" s="76">
        <v>17</v>
      </c>
      <c r="C71" s="73">
        <v>44105</v>
      </c>
      <c r="D71" s="125" t="s">
        <v>276</v>
      </c>
      <c r="E71" s="307">
        <v>44105</v>
      </c>
      <c r="F71" s="14" t="str">
        <f t="shared" si="1"/>
        <v>MSA</v>
      </c>
      <c r="G71" s="84" t="s">
        <v>281</v>
      </c>
      <c r="H71" s="84"/>
      <c r="I71" s="68"/>
      <c r="J71" s="68"/>
      <c r="K71" s="68" t="s">
        <v>275</v>
      </c>
      <c r="L71" s="68" t="s">
        <v>203</v>
      </c>
      <c r="M71" s="76"/>
    </row>
    <row r="72" spans="2:13">
      <c r="B72" s="76">
        <v>18</v>
      </c>
      <c r="C72" s="73">
        <v>44287</v>
      </c>
      <c r="D72" s="125" t="s">
        <v>434</v>
      </c>
      <c r="E72" s="58"/>
      <c r="F72" s="28" t="str">
        <f>_xlfn.IFS(ISBLANK(E72), "MSU", C72&gt;=E72,"MSA",C72&lt;E72,"MOD")</f>
        <v>MSU</v>
      </c>
      <c r="G72" s="84" t="s">
        <v>281</v>
      </c>
      <c r="H72" s="84"/>
      <c r="I72" s="68"/>
      <c r="J72" s="68"/>
      <c r="K72" s="68" t="s">
        <v>275</v>
      </c>
      <c r="L72" s="68" t="s">
        <v>203</v>
      </c>
      <c r="M72" s="76" t="s">
        <v>435</v>
      </c>
    </row>
    <row r="73" spans="2:13">
      <c r="B73" s="76">
        <v>19</v>
      </c>
      <c r="C73" s="73">
        <v>44470</v>
      </c>
      <c r="D73" s="125" t="s">
        <v>434</v>
      </c>
      <c r="E73" s="58"/>
      <c r="F73" s="28" t="str">
        <f>_xlfn.IFS(ISBLANK(E73), "MSU", C73&gt;=E73,"MSA",C73&lt;E73,"MOD")</f>
        <v>MSU</v>
      </c>
      <c r="G73" s="84" t="s">
        <v>281</v>
      </c>
      <c r="H73" s="84"/>
      <c r="I73" s="68"/>
      <c r="J73" s="68"/>
      <c r="K73" s="68" t="s">
        <v>275</v>
      </c>
      <c r="L73" s="68" t="s">
        <v>203</v>
      </c>
      <c r="M73" s="76"/>
    </row>
    <row r="74" spans="2:13">
      <c r="B74" s="76">
        <v>20</v>
      </c>
      <c r="C74" s="73">
        <v>44652</v>
      </c>
      <c r="D74" s="125" t="s">
        <v>434</v>
      </c>
      <c r="E74" s="58"/>
      <c r="F74" s="28" t="s">
        <v>65</v>
      </c>
      <c r="G74" s="84" t="s">
        <v>281</v>
      </c>
      <c r="H74" s="84"/>
      <c r="I74" s="68"/>
      <c r="J74" s="68"/>
      <c r="K74" s="68" t="s">
        <v>275</v>
      </c>
      <c r="L74" s="68" t="s">
        <v>203</v>
      </c>
      <c r="M74" s="76"/>
    </row>
    <row r="75" spans="2:13">
      <c r="B75" s="76">
        <v>21</v>
      </c>
      <c r="C75" s="73">
        <v>44835</v>
      </c>
      <c r="D75" s="125"/>
      <c r="E75" s="58"/>
      <c r="F75" s="28" t="str">
        <f>_xlfn.IFS(ISBLANK(E75), "MSU", C75&gt;=E75,"MSA",C75&lt;E75,"MOD")</f>
        <v>MSU</v>
      </c>
      <c r="G75" s="84" t="s">
        <v>281</v>
      </c>
      <c r="H75" s="84"/>
      <c r="I75" s="68"/>
      <c r="J75" s="68"/>
      <c r="K75" s="68" t="s">
        <v>275</v>
      </c>
      <c r="L75" s="68" t="s">
        <v>203</v>
      </c>
      <c r="M75" s="76"/>
    </row>
    <row r="76" spans="2:13">
      <c r="B76" s="76">
        <v>22</v>
      </c>
      <c r="C76" s="73">
        <v>45017</v>
      </c>
      <c r="D76" s="125"/>
      <c r="E76" s="58"/>
      <c r="F76" s="28" t="str">
        <f t="shared" si="1"/>
        <v>MSU</v>
      </c>
      <c r="G76" s="84" t="s">
        <v>281</v>
      </c>
      <c r="H76" s="84"/>
      <c r="I76" s="68"/>
      <c r="J76" s="68"/>
      <c r="K76" s="68" t="s">
        <v>275</v>
      </c>
      <c r="L76" s="68" t="s">
        <v>203</v>
      </c>
      <c r="M76" s="76"/>
    </row>
    <row r="77" spans="2:13">
      <c r="B77" s="76">
        <v>23</v>
      </c>
      <c r="C77" s="73">
        <v>45200</v>
      </c>
      <c r="D77" s="125"/>
      <c r="E77" s="58"/>
      <c r="F77" s="28" t="str">
        <f t="shared" si="1"/>
        <v>MSU</v>
      </c>
      <c r="G77" s="84" t="s">
        <v>281</v>
      </c>
      <c r="H77" s="84"/>
      <c r="I77" s="68"/>
      <c r="J77" s="68"/>
      <c r="K77" s="68" t="s">
        <v>275</v>
      </c>
      <c r="L77" s="68" t="s">
        <v>203</v>
      </c>
      <c r="M77" s="76"/>
    </row>
    <row r="78" spans="2:13">
      <c r="B78" s="77">
        <v>24</v>
      </c>
      <c r="C78" s="79">
        <v>45383</v>
      </c>
      <c r="D78" s="126"/>
      <c r="E78" s="64"/>
      <c r="F78" s="28" t="str">
        <f t="shared" si="1"/>
        <v>MSU</v>
      </c>
      <c r="G78" s="85" t="s">
        <v>281</v>
      </c>
      <c r="H78" s="85"/>
      <c r="I78" s="69"/>
      <c r="J78" s="69"/>
      <c r="K78" s="69" t="s">
        <v>275</v>
      </c>
      <c r="L78" s="69" t="s">
        <v>203</v>
      </c>
      <c r="M78" s="77"/>
    </row>
  </sheetData>
  <mergeCells count="44">
    <mergeCell ref="M44:T44"/>
    <mergeCell ref="M45:T45"/>
    <mergeCell ref="M27:T27"/>
    <mergeCell ref="M28:T28"/>
    <mergeCell ref="M29:T29"/>
    <mergeCell ref="M38:T38"/>
    <mergeCell ref="M39:T39"/>
    <mergeCell ref="M26:T26"/>
    <mergeCell ref="M17:T17"/>
    <mergeCell ref="M18:T18"/>
    <mergeCell ref="M19:T19"/>
    <mergeCell ref="M20:T20"/>
    <mergeCell ref="M21:T21"/>
    <mergeCell ref="M22:T22"/>
    <mergeCell ref="B2:D2"/>
    <mergeCell ref="B4:M4"/>
    <mergeCell ref="B53:M53"/>
    <mergeCell ref="M14:T14"/>
    <mergeCell ref="M13:T13"/>
    <mergeCell ref="M11:T11"/>
    <mergeCell ref="M9:T9"/>
    <mergeCell ref="M10:T10"/>
    <mergeCell ref="M12:T12"/>
    <mergeCell ref="M15:T15"/>
    <mergeCell ref="M16:T16"/>
    <mergeCell ref="M23:T23"/>
    <mergeCell ref="M24:T24"/>
    <mergeCell ref="M25:T25"/>
    <mergeCell ref="M7:T7"/>
    <mergeCell ref="M8:T8"/>
    <mergeCell ref="M6:T6"/>
    <mergeCell ref="M48:T48"/>
    <mergeCell ref="M30:T30"/>
    <mergeCell ref="M31:T31"/>
    <mergeCell ref="M37:T37"/>
    <mergeCell ref="M32:T32"/>
    <mergeCell ref="M33:T33"/>
    <mergeCell ref="M34:T34"/>
    <mergeCell ref="M35:T35"/>
    <mergeCell ref="M36:T36"/>
    <mergeCell ref="M40:T40"/>
    <mergeCell ref="M41:T41"/>
    <mergeCell ref="M42:T42"/>
    <mergeCell ref="M43:T43"/>
  </mergeCells>
  <conditionalFormatting sqref="F30:F50 F6:F19 F21:F28">
    <cfRule type="cellIs" dxfId="59" priority="70" operator="equal">
      <formula>"MCT"</formula>
    </cfRule>
    <cfRule type="cellIs" dxfId="58" priority="71" operator="equal">
      <formula>"MFL"</formula>
    </cfRule>
    <cfRule type="cellIs" dxfId="57" priority="72" operator="equal">
      <formula>"MOK"</formula>
    </cfRule>
  </conditionalFormatting>
  <conditionalFormatting sqref="F55">
    <cfRule type="cellIs" dxfId="56" priority="67" operator="equal">
      <formula>"MSU"</formula>
    </cfRule>
    <cfRule type="cellIs" dxfId="55" priority="68" operator="equal">
      <formula>"MOD"</formula>
    </cfRule>
    <cfRule type="cellIs" dxfId="54" priority="69" operator="equal">
      <formula>"MSA"</formula>
    </cfRule>
  </conditionalFormatting>
  <conditionalFormatting sqref="F56:F69">
    <cfRule type="cellIs" dxfId="53" priority="64" operator="equal">
      <formula>"MSU"</formula>
    </cfRule>
    <cfRule type="cellIs" dxfId="52" priority="65" operator="equal">
      <formula>"MOD"</formula>
    </cfRule>
    <cfRule type="cellIs" dxfId="51" priority="66" operator="equal">
      <formula>"MSA"</formula>
    </cfRule>
  </conditionalFormatting>
  <conditionalFormatting sqref="F70:F71">
    <cfRule type="cellIs" dxfId="50" priority="34" operator="equal">
      <formula>"MSU"</formula>
    </cfRule>
    <cfRule type="cellIs" dxfId="49" priority="35" operator="equal">
      <formula>"MOD"</formula>
    </cfRule>
    <cfRule type="cellIs" dxfId="48" priority="36" operator="equal">
      <formula>"MSA"</formula>
    </cfRule>
  </conditionalFormatting>
  <conditionalFormatting sqref="F20">
    <cfRule type="cellIs" dxfId="47" priority="10" operator="equal">
      <formula>"MCT"</formula>
    </cfRule>
    <cfRule type="cellIs" dxfId="46" priority="11" operator="equal">
      <formula>"MFL"</formula>
    </cfRule>
    <cfRule type="cellIs" dxfId="45" priority="12" operator="equal">
      <formula>"MOK"</formula>
    </cfRule>
  </conditionalFormatting>
  <conditionalFormatting sqref="F20">
    <cfRule type="cellIs" dxfId="44" priority="9" operator="equal">
      <formula>"MNO"</formula>
    </cfRule>
  </conditionalFormatting>
  <conditionalFormatting sqref="F29">
    <cfRule type="cellIs" dxfId="43" priority="6" operator="equal">
      <formula>"MCT"</formula>
    </cfRule>
    <cfRule type="cellIs" dxfId="42" priority="7" operator="equal">
      <formula>"MFL"</formula>
    </cfRule>
    <cfRule type="cellIs" dxfId="41" priority="8" operator="equal">
      <formula>"MOK"</formula>
    </cfRule>
  </conditionalFormatting>
  <conditionalFormatting sqref="F29">
    <cfRule type="cellIs" dxfId="40" priority="5" operator="equal">
      <formula>"MNO"</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5B1E0-04DA-4FE9-8C00-FB5551E42F6B}">
  <dimension ref="B2:T28"/>
  <sheetViews>
    <sheetView topLeftCell="H1" workbookViewId="0">
      <selection activeCell="G14" sqref="G14"/>
    </sheetView>
  </sheetViews>
  <sheetFormatPr defaultRowHeight="15"/>
  <cols>
    <col min="2" max="2" width="5.42578125" style="2" customWidth="1"/>
    <col min="3" max="3" width="11.140625" style="2" customWidth="1"/>
    <col min="4" max="4" width="7.7109375" style="2" customWidth="1"/>
    <col min="5" max="5" width="9.28515625" style="2" customWidth="1"/>
    <col min="6" max="6" width="7.140625" style="2" customWidth="1"/>
    <col min="7" max="7" width="54" style="1" customWidth="1"/>
    <col min="8" max="8" width="36.7109375" style="1" customWidth="1"/>
    <col min="9" max="9" width="11.42578125" style="2" customWidth="1"/>
    <col min="10" max="10" width="12.5703125" style="2" customWidth="1"/>
    <col min="11" max="11" width="24.140625" style="2" customWidth="1"/>
    <col min="12" max="12" width="7.5703125" style="2" customWidth="1"/>
    <col min="13" max="13" width="88.5703125" style="2" customWidth="1"/>
    <col min="14" max="18" width="8.85546875" style="2"/>
  </cols>
  <sheetData>
    <row r="2" spans="2:20">
      <c r="B2" s="341" t="s">
        <v>73</v>
      </c>
      <c r="C2" s="342"/>
      <c r="D2" s="356"/>
      <c r="E2" s="10">
        <v>3</v>
      </c>
      <c r="F2" s="162" t="s">
        <v>75</v>
      </c>
      <c r="G2" s="20" t="s">
        <v>282</v>
      </c>
    </row>
    <row r="4" spans="2:20">
      <c r="B4" s="357" t="s">
        <v>7</v>
      </c>
      <c r="C4" s="358"/>
      <c r="D4" s="358"/>
      <c r="E4" s="358"/>
      <c r="F4" s="358"/>
      <c r="G4" s="358"/>
      <c r="H4" s="358"/>
      <c r="I4" s="358"/>
      <c r="J4" s="358"/>
      <c r="K4" s="358"/>
      <c r="L4" s="358"/>
      <c r="M4" s="346"/>
    </row>
    <row r="5" spans="2:20">
      <c r="B5" s="182" t="s">
        <v>77</v>
      </c>
      <c r="C5" s="182" t="s">
        <v>78</v>
      </c>
      <c r="D5" s="182" t="s">
        <v>79</v>
      </c>
      <c r="E5" s="182" t="s">
        <v>80</v>
      </c>
      <c r="F5" s="182" t="s">
        <v>81</v>
      </c>
      <c r="G5" s="183" t="s">
        <v>45</v>
      </c>
      <c r="H5" s="183" t="s">
        <v>82</v>
      </c>
      <c r="I5" s="182" t="s">
        <v>83</v>
      </c>
      <c r="J5" s="182" t="s">
        <v>84</v>
      </c>
      <c r="K5" s="182" t="s">
        <v>85</v>
      </c>
      <c r="L5" s="184" t="s">
        <v>86</v>
      </c>
      <c r="M5" s="164" t="s">
        <v>87</v>
      </c>
    </row>
    <row r="6" spans="2:20">
      <c r="B6" s="15">
        <v>1</v>
      </c>
      <c r="C6" s="291">
        <v>0.99</v>
      </c>
      <c r="D6" s="291">
        <v>0.02</v>
      </c>
      <c r="E6" s="334">
        <f>(0.9998+1+1)/3</f>
        <v>0.99993333333333334</v>
      </c>
      <c r="F6" s="10" t="str">
        <f>_xlfn.IFS(ISBLANK(E6), "AWI", C6&lt;=E6,"MOK",(C6-D6)&lt;=E6,"MCT",C6&gt;E6,"MFL")</f>
        <v>MOK</v>
      </c>
      <c r="G6" s="287" t="s">
        <v>283</v>
      </c>
      <c r="H6" s="21" t="s">
        <v>284</v>
      </c>
      <c r="I6" s="15" t="s">
        <v>97</v>
      </c>
      <c r="J6" s="15" t="s">
        <v>101</v>
      </c>
      <c r="K6" s="15" t="s">
        <v>10</v>
      </c>
      <c r="L6" s="74" t="s">
        <v>92</v>
      </c>
      <c r="M6" s="383" t="s">
        <v>423</v>
      </c>
      <c r="N6" s="381"/>
      <c r="O6" s="381"/>
      <c r="P6" s="381"/>
      <c r="Q6" s="381"/>
      <c r="R6" s="381"/>
      <c r="S6" s="381"/>
      <c r="T6" s="382"/>
    </row>
    <row r="7" spans="2:20">
      <c r="B7" s="15">
        <v>2</v>
      </c>
      <c r="C7" s="292">
        <v>0.5</v>
      </c>
      <c r="D7" s="292">
        <v>0.1</v>
      </c>
      <c r="E7" s="315">
        <v>1.0900000000000001</v>
      </c>
      <c r="F7" s="10" t="str">
        <f t="shared" ref="F7:F14" si="0">_xlfn.IFS(ISBLANK(E7), "AWI", C7&lt;=E7,"MOK",(C7-D7)&lt;=E7,"MCT",C7&gt;E7,"MFL")</f>
        <v>MOK</v>
      </c>
      <c r="G7" s="288" t="s">
        <v>285</v>
      </c>
      <c r="H7" s="21" t="s">
        <v>284</v>
      </c>
      <c r="I7" s="15" t="s">
        <v>97</v>
      </c>
      <c r="J7" s="15" t="s">
        <v>101</v>
      </c>
      <c r="K7" s="15" t="s">
        <v>10</v>
      </c>
      <c r="L7" s="74" t="s">
        <v>92</v>
      </c>
      <c r="M7" s="380" t="s">
        <v>424</v>
      </c>
      <c r="N7" s="381"/>
      <c r="O7" s="381"/>
      <c r="P7" s="381"/>
      <c r="Q7" s="381"/>
      <c r="R7" s="381"/>
      <c r="S7" s="381"/>
      <c r="T7" s="382"/>
    </row>
    <row r="8" spans="2:20">
      <c r="B8" s="15">
        <v>3</v>
      </c>
      <c r="C8" s="293">
        <v>0.99</v>
      </c>
      <c r="D8" s="293">
        <v>0.02</v>
      </c>
      <c r="E8" s="334">
        <f>(1+0.9948+0.9948)/3</f>
        <v>0.99653333333333338</v>
      </c>
      <c r="F8" s="10" t="str">
        <f t="shared" si="0"/>
        <v>MOK</v>
      </c>
      <c r="G8" s="289" t="s">
        <v>286</v>
      </c>
      <c r="H8" s="21" t="s">
        <v>284</v>
      </c>
      <c r="I8" s="15" t="s">
        <v>97</v>
      </c>
      <c r="J8" s="15" t="s">
        <v>101</v>
      </c>
      <c r="K8" s="15" t="s">
        <v>10</v>
      </c>
      <c r="L8" s="74" t="s">
        <v>92</v>
      </c>
      <c r="M8" s="383" t="s">
        <v>425</v>
      </c>
      <c r="N8" s="381"/>
      <c r="O8" s="381"/>
      <c r="P8" s="381"/>
      <c r="Q8" s="381"/>
      <c r="R8" s="381"/>
      <c r="S8" s="381"/>
      <c r="T8" s="382"/>
    </row>
    <row r="9" spans="2:20">
      <c r="B9" s="15">
        <v>4</v>
      </c>
      <c r="C9" s="292">
        <v>1</v>
      </c>
      <c r="D9" s="292">
        <v>0.2</v>
      </c>
      <c r="E9" s="315">
        <v>1.3</v>
      </c>
      <c r="F9" s="10" t="str">
        <f t="shared" si="0"/>
        <v>MOK</v>
      </c>
      <c r="G9" s="289" t="s">
        <v>287</v>
      </c>
      <c r="H9" s="21" t="s">
        <v>284</v>
      </c>
      <c r="I9" s="15" t="s">
        <v>97</v>
      </c>
      <c r="J9" s="15" t="s">
        <v>101</v>
      </c>
      <c r="K9" s="15" t="s">
        <v>10</v>
      </c>
      <c r="L9" s="74" t="s">
        <v>92</v>
      </c>
      <c r="M9" s="380" t="s">
        <v>426</v>
      </c>
      <c r="N9" s="381"/>
      <c r="O9" s="381"/>
      <c r="P9" s="381"/>
      <c r="Q9" s="381"/>
      <c r="R9" s="381"/>
      <c r="S9" s="381"/>
      <c r="T9" s="382"/>
    </row>
    <row r="10" spans="2:20">
      <c r="B10" s="15">
        <v>5</v>
      </c>
      <c r="C10" s="293">
        <v>0.97</v>
      </c>
      <c r="D10" s="293">
        <v>0.02</v>
      </c>
      <c r="E10" s="334">
        <v>0.99990000000000001</v>
      </c>
      <c r="F10" s="10" t="str">
        <f t="shared" si="0"/>
        <v>MOK</v>
      </c>
      <c r="G10" s="289" t="s">
        <v>288</v>
      </c>
      <c r="H10" s="21" t="s">
        <v>284</v>
      </c>
      <c r="I10" s="15" t="s">
        <v>97</v>
      </c>
      <c r="J10" s="15" t="s">
        <v>101</v>
      </c>
      <c r="K10" s="15" t="s">
        <v>10</v>
      </c>
      <c r="L10" s="74" t="s">
        <v>92</v>
      </c>
      <c r="M10" s="377"/>
      <c r="N10" s="378"/>
      <c r="O10" s="378"/>
      <c r="P10" s="378"/>
      <c r="Q10" s="378"/>
      <c r="R10" s="378"/>
      <c r="S10" s="378"/>
      <c r="T10" s="379"/>
    </row>
    <row r="11" spans="2:20">
      <c r="B11" s="15">
        <v>6</v>
      </c>
      <c r="C11" s="292">
        <v>5</v>
      </c>
      <c r="D11" s="292">
        <v>2</v>
      </c>
      <c r="E11" s="340">
        <v>6</v>
      </c>
      <c r="F11" s="10" t="str">
        <f t="shared" si="0"/>
        <v>MOK</v>
      </c>
      <c r="G11" s="289" t="s">
        <v>289</v>
      </c>
      <c r="H11" s="21" t="s">
        <v>284</v>
      </c>
      <c r="I11" s="15" t="s">
        <v>97</v>
      </c>
      <c r="J11" s="15" t="s">
        <v>101</v>
      </c>
      <c r="K11" s="15" t="s">
        <v>10</v>
      </c>
      <c r="L11" s="74" t="s">
        <v>92</v>
      </c>
      <c r="M11" s="380" t="s">
        <v>427</v>
      </c>
      <c r="N11" s="381"/>
      <c r="O11" s="381"/>
      <c r="P11" s="381"/>
      <c r="Q11" s="381"/>
      <c r="R11" s="381"/>
      <c r="S11" s="381"/>
      <c r="T11" s="382"/>
    </row>
    <row r="12" spans="2:20">
      <c r="B12" s="15">
        <v>7</v>
      </c>
      <c r="C12" s="293">
        <v>0.99</v>
      </c>
      <c r="D12" s="293">
        <v>0.02</v>
      </c>
      <c r="E12" s="334">
        <v>0.99</v>
      </c>
      <c r="F12" s="10" t="str">
        <f t="shared" si="0"/>
        <v>MOK</v>
      </c>
      <c r="G12" s="289" t="s">
        <v>290</v>
      </c>
      <c r="H12" s="21" t="s">
        <v>284</v>
      </c>
      <c r="I12" s="15" t="s">
        <v>97</v>
      </c>
      <c r="J12" s="15" t="s">
        <v>101</v>
      </c>
      <c r="K12" s="15" t="s">
        <v>10</v>
      </c>
      <c r="L12" s="74" t="s">
        <v>92</v>
      </c>
      <c r="M12" s="380" t="s">
        <v>428</v>
      </c>
      <c r="N12" s="381"/>
      <c r="O12" s="381"/>
      <c r="P12" s="381"/>
      <c r="Q12" s="381"/>
      <c r="R12" s="381"/>
      <c r="S12" s="381"/>
      <c r="T12" s="382"/>
    </row>
    <row r="13" spans="2:20" s="2" customFormat="1">
      <c r="B13" s="15">
        <v>8</v>
      </c>
      <c r="C13" s="292">
        <v>3</v>
      </c>
      <c r="D13" s="292">
        <v>1</v>
      </c>
      <c r="E13" s="340">
        <v>3</v>
      </c>
      <c r="F13" s="10" t="str">
        <f t="shared" si="0"/>
        <v>MOK</v>
      </c>
      <c r="G13" s="289" t="s">
        <v>291</v>
      </c>
      <c r="H13" s="21" t="s">
        <v>284</v>
      </c>
      <c r="I13" s="15" t="s">
        <v>97</v>
      </c>
      <c r="J13" s="15" t="s">
        <v>101</v>
      </c>
      <c r="K13" s="15" t="s">
        <v>10</v>
      </c>
      <c r="L13" s="74" t="s">
        <v>92</v>
      </c>
      <c r="M13" s="377"/>
      <c r="N13" s="378"/>
      <c r="O13" s="378"/>
      <c r="P13" s="378"/>
      <c r="Q13" s="378"/>
      <c r="R13" s="378"/>
      <c r="S13" s="378"/>
      <c r="T13" s="379"/>
    </row>
    <row r="14" spans="2:20" s="2" customFormat="1">
      <c r="B14" s="15">
        <v>9</v>
      </c>
      <c r="C14" s="293">
        <v>0.99</v>
      </c>
      <c r="D14" s="293">
        <v>0.02</v>
      </c>
      <c r="E14" s="334">
        <f>(1+0.9998+0.925)/3</f>
        <v>0.97493333333333343</v>
      </c>
      <c r="F14" s="10" t="str">
        <f t="shared" si="0"/>
        <v>MCT</v>
      </c>
      <c r="G14" s="289" t="s">
        <v>292</v>
      </c>
      <c r="H14" s="21" t="s">
        <v>284</v>
      </c>
      <c r="I14" s="15" t="s">
        <v>97</v>
      </c>
      <c r="J14" s="15" t="s">
        <v>101</v>
      </c>
      <c r="K14" s="15" t="s">
        <v>10</v>
      </c>
      <c r="L14" s="74" t="s">
        <v>92</v>
      </c>
      <c r="M14" s="383" t="s">
        <v>429</v>
      </c>
      <c r="N14" s="381"/>
      <c r="O14" s="381"/>
      <c r="P14" s="381"/>
      <c r="Q14" s="381"/>
      <c r="R14" s="381"/>
      <c r="S14" s="381"/>
      <c r="T14" s="382"/>
    </row>
    <row r="15" spans="2:20" s="2" customFormat="1">
      <c r="B15" s="15">
        <v>10</v>
      </c>
      <c r="C15" s="294"/>
      <c r="D15" s="294"/>
      <c r="E15" s="335">
        <v>44</v>
      </c>
      <c r="F15" s="10" t="str">
        <f>_xlfn.IFS(ISBLANK(E15), "AWI", C15&lt;=E15,"MOK",(C15-D15)&lt;=E15,"MCT",C15&gt;E15,"MFL")</f>
        <v>MOK</v>
      </c>
      <c r="G15" s="290" t="s">
        <v>293</v>
      </c>
      <c r="H15" s="21" t="s">
        <v>284</v>
      </c>
      <c r="I15" s="15" t="s">
        <v>97</v>
      </c>
      <c r="J15" s="15" t="s">
        <v>101</v>
      </c>
      <c r="K15" s="15" t="s">
        <v>10</v>
      </c>
      <c r="L15" s="74" t="s">
        <v>92</v>
      </c>
      <c r="M15" s="384" t="s">
        <v>430</v>
      </c>
      <c r="N15" s="385"/>
      <c r="O15" s="385"/>
      <c r="P15" s="385"/>
      <c r="Q15" s="385"/>
      <c r="R15" s="385"/>
      <c r="S15" s="385"/>
      <c r="T15" s="386"/>
    </row>
    <row r="16" spans="2:20" s="2" customFormat="1">
      <c r="B16" s="15">
        <v>11</v>
      </c>
      <c r="C16" s="17">
        <v>0.95</v>
      </c>
      <c r="D16" s="17">
        <v>0.05</v>
      </c>
      <c r="E16" s="17">
        <v>0.96</v>
      </c>
      <c r="F16" s="10" t="str">
        <f>_xlfn.IFS(ISBLANK(E16), "AWI", C16&lt;=E16,"MOK",(C16-D16)&lt;=E16,"MCT",C16&gt;E16,"MFL")</f>
        <v>MOK</v>
      </c>
      <c r="G16" s="21" t="s">
        <v>294</v>
      </c>
      <c r="H16" s="21" t="s">
        <v>202</v>
      </c>
      <c r="I16" s="15" t="s">
        <v>97</v>
      </c>
      <c r="J16" s="15" t="s">
        <v>91</v>
      </c>
      <c r="K16" s="15" t="s">
        <v>14</v>
      </c>
      <c r="L16" s="74" t="s">
        <v>203</v>
      </c>
      <c r="M16" s="365" t="s">
        <v>417</v>
      </c>
      <c r="N16" s="365"/>
      <c r="O16" s="365"/>
      <c r="P16" s="365"/>
      <c r="Q16" s="365"/>
      <c r="R16" s="365"/>
      <c r="S16" s="365"/>
      <c r="T16" s="365"/>
    </row>
    <row r="17" spans="2:20" s="2" customFormat="1">
      <c r="B17" s="15">
        <v>12</v>
      </c>
      <c r="C17" s="17">
        <v>0.95</v>
      </c>
      <c r="D17" s="17">
        <v>0.05</v>
      </c>
      <c r="E17" s="17">
        <v>1</v>
      </c>
      <c r="F17" s="10" t="str">
        <f>_xlfn.IFS(ISBLANK(E17), "AWI", C17&lt;=E17,"MOK",(C17-D17)&lt;=E17,"MCT",C17&gt;E17,"MFL")</f>
        <v>MOK</v>
      </c>
      <c r="G17" s="21" t="s">
        <v>295</v>
      </c>
      <c r="H17" s="21" t="s">
        <v>202</v>
      </c>
      <c r="I17" s="15" t="s">
        <v>97</v>
      </c>
      <c r="J17" s="15" t="s">
        <v>91</v>
      </c>
      <c r="K17" s="15" t="s">
        <v>14</v>
      </c>
      <c r="L17" s="74" t="s">
        <v>203</v>
      </c>
      <c r="M17" s="365" t="s">
        <v>418</v>
      </c>
      <c r="N17" s="365"/>
      <c r="O17" s="365"/>
      <c r="P17" s="365"/>
      <c r="Q17" s="365"/>
      <c r="R17" s="365"/>
      <c r="S17" s="365"/>
      <c r="T17" s="365"/>
    </row>
    <row r="18" spans="2:20" s="2" customFormat="1">
      <c r="B18" s="16">
        <v>13</v>
      </c>
      <c r="C18" s="19"/>
      <c r="D18" s="19"/>
      <c r="E18" s="32">
        <v>2</v>
      </c>
      <c r="F18" s="10" t="str">
        <f>"MNO"</f>
        <v>MNO</v>
      </c>
      <c r="G18" s="22" t="s">
        <v>296</v>
      </c>
      <c r="H18" s="22" t="s">
        <v>297</v>
      </c>
      <c r="I18" s="16" t="s">
        <v>97</v>
      </c>
      <c r="J18" s="16" t="s">
        <v>91</v>
      </c>
      <c r="K18" s="16" t="s">
        <v>10</v>
      </c>
      <c r="L18" s="14" t="s">
        <v>431</v>
      </c>
      <c r="M18" s="77"/>
    </row>
    <row r="19" spans="2:20" s="2" customFormat="1">
      <c r="G19" s="1"/>
      <c r="H19" s="1"/>
    </row>
    <row r="20" spans="2:20" s="2" customFormat="1">
      <c r="G20" s="1"/>
      <c r="H20" s="1"/>
    </row>
    <row r="21" spans="2:20">
      <c r="B21" s="357" t="s">
        <v>16</v>
      </c>
      <c r="C21" s="358"/>
      <c r="D21" s="358"/>
      <c r="E21" s="358"/>
      <c r="F21" s="358"/>
      <c r="G21" s="358"/>
      <c r="H21" s="358"/>
      <c r="I21" s="358"/>
      <c r="J21" s="358"/>
      <c r="K21" s="358"/>
      <c r="L21" s="358"/>
      <c r="M21" s="346"/>
    </row>
    <row r="22" spans="2:20">
      <c r="B22" s="182" t="s">
        <v>77</v>
      </c>
      <c r="C22" s="182" t="s">
        <v>78</v>
      </c>
      <c r="D22" s="182" t="s">
        <v>132</v>
      </c>
      <c r="E22" s="182" t="s">
        <v>80</v>
      </c>
      <c r="F22" s="184" t="s">
        <v>81</v>
      </c>
      <c r="G22" s="183" t="s">
        <v>45</v>
      </c>
      <c r="H22" s="183" t="s">
        <v>82</v>
      </c>
      <c r="I22" s="182" t="s">
        <v>83</v>
      </c>
      <c r="J22" s="182" t="s">
        <v>84</v>
      </c>
      <c r="K22" s="182" t="s">
        <v>85</v>
      </c>
      <c r="L22" s="184" t="s">
        <v>86</v>
      </c>
      <c r="M22" s="164" t="s">
        <v>87</v>
      </c>
    </row>
    <row r="23" spans="2:20">
      <c r="B23" s="11">
        <v>1</v>
      </c>
      <c r="C23" s="23">
        <v>44287</v>
      </c>
      <c r="D23" s="23">
        <v>44287</v>
      </c>
      <c r="E23" s="30">
        <v>44287</v>
      </c>
      <c r="F23" s="10" t="str">
        <f t="shared" ref="F23:F28" si="1">_xlfn.IFS(ISBLANK(E23), "MSU", C23&gt;=E23,"MSA",C23&lt;E23,"MOD")</f>
        <v>MSA</v>
      </c>
      <c r="G23" s="25" t="s">
        <v>298</v>
      </c>
      <c r="H23" s="21"/>
      <c r="I23" s="15"/>
      <c r="J23" s="15"/>
      <c r="K23" s="15" t="s">
        <v>14</v>
      </c>
      <c r="L23" s="74" t="s">
        <v>208</v>
      </c>
      <c r="M23" s="374" t="s">
        <v>419</v>
      </c>
      <c r="N23" s="375"/>
      <c r="O23" s="375"/>
      <c r="P23" s="375"/>
      <c r="Q23" s="375"/>
      <c r="R23" s="375"/>
      <c r="S23" s="375"/>
      <c r="T23" s="376"/>
    </row>
    <row r="24" spans="2:20">
      <c r="B24" s="11">
        <v>2</v>
      </c>
      <c r="C24" s="23">
        <v>44652</v>
      </c>
      <c r="D24" s="23">
        <v>44652</v>
      </c>
      <c r="E24" s="30">
        <v>44652</v>
      </c>
      <c r="F24" s="10" t="str">
        <f t="shared" si="1"/>
        <v>MSA</v>
      </c>
      <c r="G24" s="25" t="s">
        <v>299</v>
      </c>
      <c r="H24" s="21"/>
      <c r="I24" s="15"/>
      <c r="J24" s="15"/>
      <c r="K24" s="15" t="s">
        <v>14</v>
      </c>
      <c r="L24" s="74" t="s">
        <v>203</v>
      </c>
      <c r="M24" s="76"/>
    </row>
    <row r="25" spans="2:20">
      <c r="B25" s="11">
        <v>3</v>
      </c>
      <c r="C25" s="23">
        <v>45017</v>
      </c>
      <c r="D25" s="23"/>
      <c r="E25" s="15"/>
      <c r="F25" s="10" t="str">
        <f t="shared" si="1"/>
        <v>MSU</v>
      </c>
      <c r="G25" s="25" t="s">
        <v>298</v>
      </c>
      <c r="H25" s="21"/>
      <c r="I25" s="15"/>
      <c r="J25" s="15"/>
      <c r="K25" s="15" t="s">
        <v>14</v>
      </c>
      <c r="L25" s="74" t="s">
        <v>208</v>
      </c>
      <c r="M25" s="76"/>
    </row>
    <row r="26" spans="2:20">
      <c r="B26" s="11">
        <v>4</v>
      </c>
      <c r="C26" s="23">
        <v>45383</v>
      </c>
      <c r="D26" s="23"/>
      <c r="E26" s="15"/>
      <c r="F26" s="10" t="str">
        <f t="shared" si="1"/>
        <v>MSU</v>
      </c>
      <c r="G26" s="25" t="s">
        <v>299</v>
      </c>
      <c r="H26" s="21"/>
      <c r="I26" s="15"/>
      <c r="J26" s="15"/>
      <c r="K26" s="15" t="s">
        <v>14</v>
      </c>
      <c r="L26" s="74" t="s">
        <v>203</v>
      </c>
      <c r="M26" s="76"/>
    </row>
    <row r="27" spans="2:20">
      <c r="B27" s="11">
        <v>5</v>
      </c>
      <c r="C27" s="23">
        <v>44652</v>
      </c>
      <c r="D27" s="23"/>
      <c r="E27" s="15"/>
      <c r="F27" s="10" t="str">
        <f t="shared" si="1"/>
        <v>MSU</v>
      </c>
      <c r="G27" s="51" t="s">
        <v>300</v>
      </c>
      <c r="H27" s="21"/>
      <c r="I27" s="15"/>
      <c r="J27" s="15"/>
      <c r="K27" s="15" t="s">
        <v>14</v>
      </c>
      <c r="L27" s="74" t="s">
        <v>203</v>
      </c>
      <c r="M27" s="76"/>
    </row>
    <row r="28" spans="2:20">
      <c r="B28" s="13">
        <v>6</v>
      </c>
      <c r="C28" s="24">
        <v>45383</v>
      </c>
      <c r="D28" s="24"/>
      <c r="E28" s="16"/>
      <c r="F28" s="49" t="str">
        <f t="shared" si="1"/>
        <v>MSU</v>
      </c>
      <c r="G28" s="52" t="s">
        <v>300</v>
      </c>
      <c r="H28" s="50"/>
      <c r="I28" s="16"/>
      <c r="J28" s="16"/>
      <c r="K28" s="16" t="s">
        <v>14</v>
      </c>
      <c r="L28" s="14" t="s">
        <v>203</v>
      </c>
      <c r="M28" s="77"/>
    </row>
  </sheetData>
  <mergeCells count="16">
    <mergeCell ref="M23:T23"/>
    <mergeCell ref="B2:D2"/>
    <mergeCell ref="B4:M4"/>
    <mergeCell ref="B21:M21"/>
    <mergeCell ref="M10:T10"/>
    <mergeCell ref="M13:T13"/>
    <mergeCell ref="M17:T17"/>
    <mergeCell ref="M16:T16"/>
    <mergeCell ref="M11:T11"/>
    <mergeCell ref="M12:T12"/>
    <mergeCell ref="M14:T14"/>
    <mergeCell ref="M15:T15"/>
    <mergeCell ref="M6:T6"/>
    <mergeCell ref="M7:T7"/>
    <mergeCell ref="M8:T8"/>
    <mergeCell ref="M9:T9"/>
  </mergeCells>
  <conditionalFormatting sqref="F6:F18">
    <cfRule type="cellIs" dxfId="39" priority="14" operator="equal">
      <formula>"MCT"</formula>
    </cfRule>
    <cfRule type="cellIs" dxfId="38" priority="15" operator="equal">
      <formula>"MFL"</formula>
    </cfRule>
    <cfRule type="cellIs" dxfId="37" priority="16" operator="equal">
      <formula>"MOK"</formula>
    </cfRule>
  </conditionalFormatting>
  <conditionalFormatting sqref="F23">
    <cfRule type="cellIs" dxfId="36" priority="11" operator="equal">
      <formula>"MSU"</formula>
    </cfRule>
    <cfRule type="cellIs" dxfId="35" priority="12" operator="equal">
      <formula>"MOD"</formula>
    </cfRule>
    <cfRule type="cellIs" dxfId="34" priority="13" operator="equal">
      <formula>"MSA"</formula>
    </cfRule>
  </conditionalFormatting>
  <conditionalFormatting sqref="F24:F27">
    <cfRule type="cellIs" dxfId="33" priority="8" operator="equal">
      <formula>"MSU"</formula>
    </cfRule>
    <cfRule type="cellIs" dxfId="32" priority="9" operator="equal">
      <formula>"MOD"</formula>
    </cfRule>
    <cfRule type="cellIs" dxfId="31" priority="10" operator="equal">
      <formula>"MSA"</formula>
    </cfRule>
  </conditionalFormatting>
  <conditionalFormatting sqref="F6:F17">
    <cfRule type="cellIs" dxfId="30" priority="7" operator="equal">
      <formula>"MNO"</formula>
    </cfRule>
  </conditionalFormatting>
  <conditionalFormatting sqref="F15">
    <cfRule type="cellIs" dxfId="29" priority="6" operator="equal">
      <formula>"MNO"</formula>
    </cfRule>
  </conditionalFormatting>
  <conditionalFormatting sqref="F6:F18">
    <cfRule type="cellIs" dxfId="28" priority="5" operator="equal">
      <formula>"MNO"</formula>
    </cfRule>
  </conditionalFormatting>
  <conditionalFormatting sqref="F28">
    <cfRule type="cellIs" dxfId="27" priority="1" operator="equal">
      <formula>"MSU"</formula>
    </cfRule>
    <cfRule type="cellIs" dxfId="26" priority="2" operator="equal">
      <formula>"MOD"</formula>
    </cfRule>
    <cfRule type="cellIs" dxfId="25" priority="3" operator="equal">
      <formula>"MSA"</formula>
    </cfRule>
  </conditionalFormatting>
  <hyperlinks>
    <hyperlink ref="M6" r:id="rId1" xr:uid="{9A7E4031-36BE-6944-A653-B49444A96159}"/>
    <hyperlink ref="M8" r:id="rId2" xr:uid="{C3555AB9-82A4-E54F-A2ED-59E346B5906D}"/>
    <hyperlink ref="M14" r:id="rId3" xr:uid="{C09442FD-331F-644B-84D3-A6B91BB07B1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72B70-C01B-486A-9174-F80D2D3B5C62}">
  <dimension ref="B2:R39"/>
  <sheetViews>
    <sheetView workbookViewId="0">
      <selection activeCell="E31" sqref="E31"/>
    </sheetView>
  </sheetViews>
  <sheetFormatPr defaultRowHeight="15"/>
  <cols>
    <col min="2" max="2" width="5.42578125" style="2" customWidth="1"/>
    <col min="3" max="3" width="11.140625" style="2" customWidth="1"/>
    <col min="4" max="4" width="8.28515625" style="2" customWidth="1"/>
    <col min="5" max="5" width="9.28515625" style="2" customWidth="1"/>
    <col min="6" max="6" width="7.140625" style="2" customWidth="1"/>
    <col min="7" max="7" width="64.140625" style="1" customWidth="1"/>
    <col min="8" max="8" width="107.140625" style="1" customWidth="1"/>
    <col min="9" max="9" width="11.42578125" style="2" customWidth="1"/>
    <col min="10" max="10" width="12.5703125" style="2" customWidth="1"/>
    <col min="11" max="11" width="24.140625" style="2" customWidth="1"/>
    <col min="12" max="12" width="8.42578125" style="2" customWidth="1"/>
    <col min="13" max="13" width="73.28515625" style="2" customWidth="1"/>
    <col min="14" max="18" width="9.140625" style="2"/>
  </cols>
  <sheetData>
    <row r="2" spans="2:13">
      <c r="B2" s="341" t="s">
        <v>73</v>
      </c>
      <c r="C2" s="342"/>
      <c r="D2" s="356"/>
      <c r="E2" s="10">
        <v>4</v>
      </c>
      <c r="F2" s="162" t="s">
        <v>75</v>
      </c>
      <c r="G2" s="20" t="s">
        <v>301</v>
      </c>
    </row>
    <row r="4" spans="2:13">
      <c r="B4" s="357" t="s">
        <v>7</v>
      </c>
      <c r="C4" s="358"/>
      <c r="D4" s="358"/>
      <c r="E4" s="358"/>
      <c r="F4" s="358"/>
      <c r="G4" s="358"/>
      <c r="H4" s="358"/>
      <c r="I4" s="358"/>
      <c r="J4" s="358"/>
      <c r="K4" s="358"/>
      <c r="L4" s="358"/>
      <c r="M4" s="359"/>
    </row>
    <row r="5" spans="2:13">
      <c r="B5" s="182" t="s">
        <v>77</v>
      </c>
      <c r="C5" s="182" t="s">
        <v>78</v>
      </c>
      <c r="D5" s="182" t="s">
        <v>79</v>
      </c>
      <c r="E5" s="182" t="s">
        <v>80</v>
      </c>
      <c r="F5" s="182" t="s">
        <v>81</v>
      </c>
      <c r="G5" s="183" t="s">
        <v>45</v>
      </c>
      <c r="H5" s="183" t="s">
        <v>82</v>
      </c>
      <c r="I5" s="182" t="s">
        <v>83</v>
      </c>
      <c r="J5" s="182" t="s">
        <v>84</v>
      </c>
      <c r="K5" s="182" t="s">
        <v>85</v>
      </c>
      <c r="L5" s="201" t="s">
        <v>86</v>
      </c>
      <c r="M5" s="168" t="s">
        <v>87</v>
      </c>
    </row>
    <row r="6" spans="2:13">
      <c r="B6" s="15">
        <v>1</v>
      </c>
      <c r="C6" s="237">
        <v>2</v>
      </c>
      <c r="D6" s="17"/>
      <c r="E6" s="237">
        <v>1</v>
      </c>
      <c r="F6" s="10" t="s">
        <v>49</v>
      </c>
      <c r="G6" s="21" t="s">
        <v>302</v>
      </c>
      <c r="H6" s="21"/>
      <c r="I6" s="15"/>
      <c r="J6" s="15" t="s">
        <v>303</v>
      </c>
      <c r="K6" s="15" t="s">
        <v>30</v>
      </c>
      <c r="L6" s="74" t="s">
        <v>203</v>
      </c>
      <c r="M6" s="250" t="s">
        <v>304</v>
      </c>
    </row>
    <row r="7" spans="2:13">
      <c r="B7" s="15">
        <v>2</v>
      </c>
      <c r="C7" s="237">
        <v>2</v>
      </c>
      <c r="D7" s="17"/>
      <c r="E7" s="237">
        <v>1</v>
      </c>
      <c r="F7" s="10" t="s">
        <v>49</v>
      </c>
      <c r="G7" s="21" t="s">
        <v>305</v>
      </c>
      <c r="H7" s="21"/>
      <c r="I7" s="15"/>
      <c r="J7" s="15" t="s">
        <v>303</v>
      </c>
      <c r="K7" s="15" t="s">
        <v>30</v>
      </c>
      <c r="L7" s="74" t="s">
        <v>92</v>
      </c>
      <c r="M7" s="249" t="s">
        <v>304</v>
      </c>
    </row>
    <row r="8" spans="2:13">
      <c r="B8" s="15">
        <v>3</v>
      </c>
      <c r="C8" s="237">
        <v>2</v>
      </c>
      <c r="D8" s="17"/>
      <c r="E8" s="237">
        <v>2</v>
      </c>
      <c r="F8" s="10" t="s">
        <v>49</v>
      </c>
      <c r="G8" s="21" t="s">
        <v>306</v>
      </c>
      <c r="H8" s="21"/>
      <c r="I8" s="15"/>
      <c r="J8" s="15" t="s">
        <v>303</v>
      </c>
      <c r="K8" s="15" t="s">
        <v>30</v>
      </c>
      <c r="L8" s="74" t="s">
        <v>92</v>
      </c>
      <c r="M8" s="249" t="s">
        <v>307</v>
      </c>
    </row>
    <row r="9" spans="2:13">
      <c r="B9" s="15">
        <v>4</v>
      </c>
      <c r="C9" s="237">
        <v>2</v>
      </c>
      <c r="D9" s="17"/>
      <c r="E9" s="237">
        <v>2</v>
      </c>
      <c r="F9" s="10" t="s">
        <v>49</v>
      </c>
      <c r="G9" s="21" t="s">
        <v>308</v>
      </c>
      <c r="H9" s="21"/>
      <c r="I9" s="15"/>
      <c r="J9" s="15" t="s">
        <v>303</v>
      </c>
      <c r="K9" s="15" t="s">
        <v>30</v>
      </c>
      <c r="L9" s="74" t="s">
        <v>92</v>
      </c>
      <c r="M9" s="249" t="s">
        <v>307</v>
      </c>
    </row>
    <row r="10" spans="2:13">
      <c r="B10" s="15">
        <v>5</v>
      </c>
      <c r="C10" s="237">
        <v>2</v>
      </c>
      <c r="D10" s="17"/>
      <c r="E10" s="237">
        <v>2</v>
      </c>
      <c r="F10" s="10" t="s">
        <v>49</v>
      </c>
      <c r="G10" s="21" t="s">
        <v>309</v>
      </c>
      <c r="H10" s="21"/>
      <c r="I10" s="15"/>
      <c r="J10" s="15" t="s">
        <v>303</v>
      </c>
      <c r="K10" s="15" t="s">
        <v>30</v>
      </c>
      <c r="L10" s="74" t="s">
        <v>92</v>
      </c>
      <c r="M10" s="249" t="s">
        <v>310</v>
      </c>
    </row>
    <row r="11" spans="2:13">
      <c r="B11" s="16">
        <v>6</v>
      </c>
      <c r="C11" s="238">
        <v>2</v>
      </c>
      <c r="D11" s="238"/>
      <c r="E11" s="252">
        <v>2</v>
      </c>
      <c r="F11" s="10" t="s">
        <v>311</v>
      </c>
      <c r="G11" s="62" t="s">
        <v>312</v>
      </c>
      <c r="H11" s="22"/>
      <c r="I11" s="16"/>
      <c r="J11" s="63" t="s">
        <v>303</v>
      </c>
      <c r="K11" s="63" t="s">
        <v>30</v>
      </c>
      <c r="L11" s="14" t="s">
        <v>92</v>
      </c>
      <c r="M11" s="251" t="s">
        <v>310</v>
      </c>
    </row>
    <row r="14" spans="2:13" s="2" customFormat="1">
      <c r="B14" s="357" t="s">
        <v>16</v>
      </c>
      <c r="C14" s="358"/>
      <c r="D14" s="358"/>
      <c r="E14" s="358"/>
      <c r="F14" s="358"/>
      <c r="G14" s="358"/>
      <c r="H14" s="358"/>
      <c r="I14" s="358"/>
      <c r="J14" s="358"/>
      <c r="K14" s="358"/>
      <c r="L14" s="358"/>
      <c r="M14" s="359"/>
    </row>
    <row r="15" spans="2:13" s="2" customFormat="1">
      <c r="B15" s="182">
        <v>1</v>
      </c>
      <c r="C15" s="182" t="s">
        <v>78</v>
      </c>
      <c r="D15" s="182" t="s">
        <v>132</v>
      </c>
      <c r="E15" s="182" t="s">
        <v>80</v>
      </c>
      <c r="F15" s="184" t="s">
        <v>81</v>
      </c>
      <c r="G15" s="183" t="s">
        <v>45</v>
      </c>
      <c r="H15" s="183" t="s">
        <v>82</v>
      </c>
      <c r="I15" s="182" t="s">
        <v>83</v>
      </c>
      <c r="J15" s="182" t="s">
        <v>84</v>
      </c>
      <c r="K15" s="182" t="s">
        <v>85</v>
      </c>
      <c r="L15" s="201" t="s">
        <v>86</v>
      </c>
      <c r="M15" s="168" t="s">
        <v>87</v>
      </c>
    </row>
    <row r="16" spans="2:13" s="2" customFormat="1">
      <c r="B16" s="11">
        <v>1</v>
      </c>
      <c r="C16" s="23">
        <v>44166</v>
      </c>
      <c r="D16" s="23"/>
      <c r="E16" s="30">
        <v>43922</v>
      </c>
      <c r="F16" s="16" t="str">
        <f>_xlfn.IFS(D16="Yes", "MOG",ISBLANK(E16), "MSU", C16&gt;=E16,"MSA",C16&lt;E16,"MOD")</f>
        <v>MSA</v>
      </c>
      <c r="G16" s="25" t="s">
        <v>313</v>
      </c>
      <c r="H16" s="233" t="s">
        <v>314</v>
      </c>
      <c r="I16" s="15"/>
      <c r="J16" s="15"/>
      <c r="K16" s="15" t="s">
        <v>25</v>
      </c>
      <c r="L16" s="74" t="s">
        <v>92</v>
      </c>
      <c r="M16" s="75"/>
    </row>
    <row r="17" spans="2:13" s="2" customFormat="1">
      <c r="B17" s="11">
        <v>2</v>
      </c>
      <c r="C17" s="23">
        <v>44621</v>
      </c>
      <c r="D17" s="23"/>
      <c r="E17" s="30">
        <v>44531</v>
      </c>
      <c r="F17" s="16" t="str">
        <f>_xlfn.IFS(D17="yes", "MOG",ISBLANK(E17), "MSU", C17&gt;=E17,"MSA",C17&lt;E17,"MOD")</f>
        <v>MSA</v>
      </c>
      <c r="G17" s="25" t="s">
        <v>315</v>
      </c>
      <c r="H17" s="234" t="s">
        <v>438</v>
      </c>
      <c r="I17" s="15"/>
      <c r="J17" s="15"/>
      <c r="K17" s="15" t="s">
        <v>25</v>
      </c>
      <c r="L17" s="74" t="s">
        <v>92</v>
      </c>
      <c r="M17" s="76"/>
    </row>
    <row r="18" spans="2:13" s="2" customFormat="1">
      <c r="B18" s="11">
        <v>3</v>
      </c>
      <c r="C18" s="23">
        <v>44713</v>
      </c>
      <c r="D18" s="23" t="s">
        <v>134</v>
      </c>
      <c r="E18" s="15"/>
      <c r="F18" s="16" t="str">
        <f>_xlfn.IFS(D18="yes", "MOG",ISBLANK(E18), "MSU", C18&gt;=E18,"MSA",C18&lt;E18,"MOD")</f>
        <v>MOG</v>
      </c>
      <c r="G18" s="25" t="s">
        <v>316</v>
      </c>
      <c r="H18" s="21" t="s">
        <v>317</v>
      </c>
      <c r="I18" s="15"/>
      <c r="J18" s="15"/>
      <c r="K18" s="15" t="s">
        <v>25</v>
      </c>
      <c r="L18" s="74" t="s">
        <v>92</v>
      </c>
      <c r="M18" s="76"/>
    </row>
    <row r="19" spans="2:13" s="2" customFormat="1">
      <c r="B19" s="235">
        <v>4</v>
      </c>
      <c r="C19" s="70">
        <v>44986</v>
      </c>
      <c r="D19" s="70" t="s">
        <v>134</v>
      </c>
      <c r="E19" s="63"/>
      <c r="F19" s="16" t="str">
        <f>_xlfn.IFS(D19="yes", "MOG",ISBLANK(E19), "MSU", C19&gt;=E19,"MSA",C19&lt;E19,"MOD")</f>
        <v>MOG</v>
      </c>
      <c r="G19" s="71" t="s">
        <v>318</v>
      </c>
      <c r="H19" s="62" t="s">
        <v>319</v>
      </c>
      <c r="I19" s="63"/>
      <c r="J19" s="63"/>
      <c r="K19" s="63" t="s">
        <v>25</v>
      </c>
      <c r="L19" s="107" t="s">
        <v>92</v>
      </c>
      <c r="M19" s="77"/>
    </row>
    <row r="20" spans="2:13" s="2" customFormat="1">
      <c r="B20" s="11">
        <v>5</v>
      </c>
      <c r="C20" s="23">
        <v>44531</v>
      </c>
      <c r="D20" s="23" t="s">
        <v>134</v>
      </c>
      <c r="E20" s="30"/>
      <c r="F20" s="16" t="str">
        <f>_xlfn.IFS(D20="yes", "MOG",ISBLANK(E20), "MSU", C20&gt;=E20,"MSA",C20&lt;E20,"MOD")</f>
        <v>MOG</v>
      </c>
      <c r="G20" s="51" t="s">
        <v>320</v>
      </c>
      <c r="H20" s="21" t="s">
        <v>321</v>
      </c>
      <c r="I20" s="15"/>
      <c r="J20" s="15"/>
      <c r="K20" s="15" t="s">
        <v>322</v>
      </c>
      <c r="L20" s="74" t="s">
        <v>92</v>
      </c>
      <c r="M20" s="76"/>
    </row>
    <row r="21" spans="2:13" s="2" customFormat="1">
      <c r="B21" s="13">
        <v>6</v>
      </c>
      <c r="C21" s="24">
        <v>44287</v>
      </c>
      <c r="D21" s="24" t="s">
        <v>134</v>
      </c>
      <c r="E21" s="31">
        <v>44197</v>
      </c>
      <c r="F21" s="16" t="str">
        <f t="shared" ref="F21:F29" si="0">_xlfn.IFS(D21="yes", "MOG",ISBLANK(E21), "MSU", C21&gt;=E21,"MSA",C21&lt;E21,"MOD")</f>
        <v>MOG</v>
      </c>
      <c r="G21" s="52" t="s">
        <v>323</v>
      </c>
      <c r="H21" s="50"/>
      <c r="I21" s="16"/>
      <c r="J21" s="16"/>
      <c r="K21" s="16" t="s">
        <v>322</v>
      </c>
      <c r="L21" s="14" t="s">
        <v>149</v>
      </c>
      <c r="M21" s="77"/>
    </row>
    <row r="22" spans="2:13">
      <c r="B22" s="11">
        <v>7</v>
      </c>
      <c r="C22" s="23">
        <v>44105</v>
      </c>
      <c r="D22" s="23"/>
      <c r="E22" s="30">
        <v>44197</v>
      </c>
      <c r="F22" s="16" t="s">
        <v>61</v>
      </c>
      <c r="G22" s="236" t="s">
        <v>324</v>
      </c>
      <c r="H22" s="1" t="s">
        <v>447</v>
      </c>
      <c r="I22" s="15"/>
      <c r="J22" s="15"/>
      <c r="K22" s="15" t="s">
        <v>325</v>
      </c>
      <c r="L22" s="74" t="s">
        <v>92</v>
      </c>
      <c r="M22" s="75"/>
    </row>
    <row r="23" spans="2:13">
      <c r="B23" s="11">
        <v>8</v>
      </c>
      <c r="C23" s="23">
        <v>44348</v>
      </c>
      <c r="D23" s="23"/>
      <c r="E23" s="30">
        <v>44531</v>
      </c>
      <c r="F23" s="16" t="str">
        <f>_xlfn.IFS(D23="yes", "MOG",ISBLANK(E23), "MSU", C23&gt;=E23,"MSA",C23&lt;E23,"MOD")</f>
        <v>MOD</v>
      </c>
      <c r="G23" s="236" t="s">
        <v>326</v>
      </c>
      <c r="H23" s="239"/>
      <c r="I23" s="15"/>
      <c r="J23" s="15"/>
      <c r="K23" s="15" t="s">
        <v>325</v>
      </c>
      <c r="L23" s="74" t="s">
        <v>92</v>
      </c>
      <c r="M23" s="76"/>
    </row>
    <row r="24" spans="2:13">
      <c r="B24" s="235">
        <v>9</v>
      </c>
      <c r="C24" s="70">
        <v>44470</v>
      </c>
      <c r="D24" s="70" t="s">
        <v>134</v>
      </c>
      <c r="E24" s="63"/>
      <c r="F24" s="16" t="str">
        <f t="shared" si="0"/>
        <v>MOG</v>
      </c>
      <c r="G24" s="240" t="s">
        <v>327</v>
      </c>
      <c r="H24" s="241" t="s">
        <v>449</v>
      </c>
      <c r="I24" s="63"/>
      <c r="J24" s="63"/>
      <c r="K24" s="63" t="s">
        <v>325</v>
      </c>
      <c r="L24" s="107" t="s">
        <v>92</v>
      </c>
      <c r="M24" s="77"/>
    </row>
    <row r="25" spans="2:13">
      <c r="B25" s="11">
        <v>10</v>
      </c>
      <c r="C25" s="23">
        <v>44256</v>
      </c>
      <c r="D25" s="23" t="s">
        <v>134</v>
      </c>
      <c r="E25" s="30">
        <v>43983</v>
      </c>
      <c r="F25" s="16" t="s">
        <v>61</v>
      </c>
      <c r="G25" s="236" t="s">
        <v>328</v>
      </c>
      <c r="H25" s="239" t="s">
        <v>329</v>
      </c>
      <c r="I25" s="15"/>
      <c r="J25" s="15"/>
      <c r="K25" s="15" t="s">
        <v>330</v>
      </c>
      <c r="L25" s="74" t="s">
        <v>92</v>
      </c>
      <c r="M25" s="76"/>
    </row>
    <row r="26" spans="2:13">
      <c r="B26" s="11">
        <v>11</v>
      </c>
      <c r="C26" s="23">
        <v>44531</v>
      </c>
      <c r="D26" s="23" t="s">
        <v>134</v>
      </c>
      <c r="E26" s="30"/>
      <c r="F26" s="16" t="str">
        <f t="shared" si="0"/>
        <v>MOG</v>
      </c>
      <c r="G26" s="1" t="s">
        <v>331</v>
      </c>
      <c r="H26" s="239" t="s">
        <v>332</v>
      </c>
      <c r="I26" s="15"/>
      <c r="J26" s="15"/>
      <c r="K26" s="15" t="s">
        <v>330</v>
      </c>
      <c r="L26" s="74" t="s">
        <v>92</v>
      </c>
      <c r="M26" s="76"/>
    </row>
    <row r="27" spans="2:13">
      <c r="B27" s="11">
        <v>12</v>
      </c>
      <c r="C27" s="23">
        <v>44348</v>
      </c>
      <c r="D27" s="23" t="s">
        <v>134</v>
      </c>
      <c r="E27" s="30">
        <v>44287</v>
      </c>
      <c r="F27" s="16" t="str">
        <f t="shared" si="0"/>
        <v>MOG</v>
      </c>
      <c r="G27" s="236" t="s">
        <v>333</v>
      </c>
      <c r="H27" s="239" t="s">
        <v>334</v>
      </c>
      <c r="I27" s="15"/>
      <c r="J27" s="15"/>
      <c r="K27" s="15" t="s">
        <v>330</v>
      </c>
      <c r="L27" s="74" t="s">
        <v>92</v>
      </c>
      <c r="M27" s="76"/>
    </row>
    <row r="28" spans="2:13">
      <c r="B28" s="11">
        <v>13</v>
      </c>
      <c r="C28" s="23">
        <v>44713</v>
      </c>
      <c r="D28" s="23" t="s">
        <v>134</v>
      </c>
      <c r="E28" s="15"/>
      <c r="F28" s="16" t="str">
        <f t="shared" si="0"/>
        <v>MOG</v>
      </c>
      <c r="G28" s="236" t="s">
        <v>335</v>
      </c>
      <c r="H28" s="239" t="s">
        <v>336</v>
      </c>
      <c r="I28" s="15"/>
      <c r="J28" s="15"/>
      <c r="K28" s="15" t="s">
        <v>330</v>
      </c>
      <c r="L28" s="74" t="s">
        <v>92</v>
      </c>
      <c r="M28" s="76"/>
    </row>
    <row r="29" spans="2:13">
      <c r="B29" s="318">
        <v>14</v>
      </c>
      <c r="C29" s="319">
        <v>45352</v>
      </c>
      <c r="D29" s="319" t="s">
        <v>134</v>
      </c>
      <c r="E29" s="320"/>
      <c r="F29" s="321" t="str">
        <f t="shared" si="0"/>
        <v>MOG</v>
      </c>
      <c r="G29" s="322" t="s">
        <v>337</v>
      </c>
      <c r="H29" s="323" t="s">
        <v>338</v>
      </c>
      <c r="I29" s="15"/>
      <c r="J29" s="15"/>
      <c r="K29" s="15" t="s">
        <v>330</v>
      </c>
      <c r="L29" s="74" t="s">
        <v>92</v>
      </c>
      <c r="M29" s="76"/>
    </row>
    <row r="30" spans="2:13">
      <c r="B30" s="235">
        <v>15</v>
      </c>
      <c r="C30" s="70">
        <v>44256</v>
      </c>
      <c r="D30" s="70"/>
      <c r="E30" s="339">
        <v>44348</v>
      </c>
      <c r="F30" s="16" t="s">
        <v>61</v>
      </c>
      <c r="G30" s="240" t="s">
        <v>339</v>
      </c>
      <c r="H30" s="241" t="s">
        <v>448</v>
      </c>
      <c r="I30" s="63"/>
      <c r="J30" s="63"/>
      <c r="K30" s="63" t="s">
        <v>330</v>
      </c>
      <c r="L30" s="107" t="s">
        <v>92</v>
      </c>
      <c r="M30" s="77"/>
    </row>
    <row r="35" spans="3:8">
      <c r="C35" s="317">
        <v>44440</v>
      </c>
      <c r="G35" s="1" t="s">
        <v>340</v>
      </c>
      <c r="H35" s="1" t="s">
        <v>341</v>
      </c>
    </row>
    <row r="36" spans="3:8">
      <c r="C36" s="317">
        <v>44531</v>
      </c>
      <c r="G36" s="1" t="s">
        <v>331</v>
      </c>
      <c r="H36" s="1" t="s">
        <v>342</v>
      </c>
    </row>
    <row r="37" spans="3:8">
      <c r="C37" s="317">
        <v>44348</v>
      </c>
      <c r="G37" s="1" t="s">
        <v>343</v>
      </c>
      <c r="H37" s="1" t="s">
        <v>341</v>
      </c>
    </row>
    <row r="38" spans="3:8">
      <c r="C38" s="317">
        <v>44562</v>
      </c>
      <c r="G38" s="1" t="s">
        <v>344</v>
      </c>
      <c r="H38" s="1" t="s">
        <v>341</v>
      </c>
    </row>
    <row r="39" spans="3:8">
      <c r="G39" s="2"/>
    </row>
  </sheetData>
  <mergeCells count="3">
    <mergeCell ref="B2:D2"/>
    <mergeCell ref="B4:M4"/>
    <mergeCell ref="B14:M14"/>
  </mergeCells>
  <conditionalFormatting sqref="F6:F8 F10:F11">
    <cfRule type="cellIs" dxfId="24" priority="26" operator="equal">
      <formula>"MCT"</formula>
    </cfRule>
    <cfRule type="cellIs" dxfId="23" priority="27" operator="equal">
      <formula>"MFL"</formula>
    </cfRule>
    <cfRule type="cellIs" dxfId="22" priority="28" operator="equal">
      <formula>"MOK"</formula>
    </cfRule>
  </conditionalFormatting>
  <conditionalFormatting sqref="F16:F30">
    <cfRule type="cellIs" dxfId="21" priority="20" operator="equal">
      <formula>"MSU"</formula>
    </cfRule>
    <cfRule type="cellIs" dxfId="20" priority="21" operator="equal">
      <formula>"MOD"</formula>
    </cfRule>
    <cfRule type="cellIs" dxfId="19" priority="22" operator="equal">
      <formula>"MSA"</formula>
    </cfRule>
  </conditionalFormatting>
  <conditionalFormatting sqref="F6:F8 F10:F11">
    <cfRule type="cellIs" dxfId="18" priority="19" operator="equal">
      <formula>"MNO"</formula>
    </cfRule>
  </conditionalFormatting>
  <conditionalFormatting sqref="F7">
    <cfRule type="cellIs" dxfId="17" priority="18" operator="equal">
      <formula>"MNO"</formula>
    </cfRule>
  </conditionalFormatting>
  <conditionalFormatting sqref="F7:F8 F10:F11">
    <cfRule type="cellIs" dxfId="16" priority="17" operator="equal">
      <formula>"MNO"</formula>
    </cfRule>
  </conditionalFormatting>
  <conditionalFormatting sqref="F6:F8 F10:F11">
    <cfRule type="cellIs" dxfId="15" priority="16" operator="equal">
      <formula>"MNO"</formula>
    </cfRule>
  </conditionalFormatting>
  <conditionalFormatting sqref="F9">
    <cfRule type="cellIs" dxfId="14" priority="4" operator="equal">
      <formula>"MCT"</formula>
    </cfRule>
    <cfRule type="cellIs" dxfId="13" priority="5" operator="equal">
      <formula>"MFL"</formula>
    </cfRule>
    <cfRule type="cellIs" dxfId="12" priority="6" operator="equal">
      <formula>"MOK"</formula>
    </cfRule>
  </conditionalFormatting>
  <conditionalFormatting sqref="F9">
    <cfRule type="cellIs" dxfId="11" priority="3" operator="equal">
      <formula>"MNO"</formula>
    </cfRule>
  </conditionalFormatting>
  <conditionalFormatting sqref="F9">
    <cfRule type="cellIs" dxfId="10" priority="2" operator="equal">
      <formula>"MNO"</formula>
    </cfRule>
  </conditionalFormatting>
  <conditionalFormatting sqref="F9">
    <cfRule type="cellIs" dxfId="9" priority="1" operator="equal">
      <formula>"MNO"</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587D5-1F93-4989-BFD0-7E754116CA30}">
  <dimension ref="B2:R37"/>
  <sheetViews>
    <sheetView tabSelected="1" topLeftCell="A17" workbookViewId="0">
      <selection activeCell="M13" sqref="M13"/>
    </sheetView>
  </sheetViews>
  <sheetFormatPr defaultRowHeight="15"/>
  <cols>
    <col min="2" max="2" width="5.42578125" style="2" customWidth="1"/>
    <col min="3" max="4" width="11.140625" style="2" customWidth="1"/>
    <col min="5" max="5" width="9.28515625" style="2" customWidth="1"/>
    <col min="6" max="6" width="7.140625" style="2" customWidth="1"/>
    <col min="7" max="7" width="55" style="1" customWidth="1"/>
    <col min="8" max="8" width="36.7109375" style="1" customWidth="1"/>
    <col min="9" max="9" width="11.42578125" style="2" customWidth="1"/>
    <col min="10" max="10" width="12.5703125" style="2" customWidth="1"/>
    <col min="11" max="11" width="24.140625" style="2" customWidth="1"/>
    <col min="12" max="12" width="7.5703125" style="2" customWidth="1"/>
    <col min="13" max="13" width="70.85546875" style="2" customWidth="1"/>
    <col min="14" max="18" width="8.85546875" style="2"/>
  </cols>
  <sheetData>
    <row r="2" spans="2:13">
      <c r="B2" s="341" t="s">
        <v>73</v>
      </c>
      <c r="C2" s="342"/>
      <c r="D2" s="356"/>
      <c r="E2" s="10">
        <v>5</v>
      </c>
      <c r="F2" s="162" t="s">
        <v>75</v>
      </c>
      <c r="G2" s="20" t="s">
        <v>11</v>
      </c>
    </row>
    <row r="4" spans="2:13">
      <c r="B4" s="367" t="s">
        <v>7</v>
      </c>
      <c r="C4" s="368"/>
      <c r="D4" s="387"/>
      <c r="E4" s="368"/>
      <c r="F4" s="368"/>
      <c r="G4" s="368"/>
      <c r="H4" s="368"/>
      <c r="I4" s="368"/>
      <c r="J4" s="368"/>
      <c r="K4" s="368"/>
      <c r="L4" s="368"/>
      <c r="M4" s="369"/>
    </row>
    <row r="5" spans="2:13">
      <c r="B5" s="177" t="s">
        <v>77</v>
      </c>
      <c r="C5" s="202" t="s">
        <v>78</v>
      </c>
      <c r="D5" s="186" t="s">
        <v>79</v>
      </c>
      <c r="E5" s="203" t="s">
        <v>80</v>
      </c>
      <c r="F5" s="200" t="s">
        <v>81</v>
      </c>
      <c r="G5" s="179" t="s">
        <v>45</v>
      </c>
      <c r="H5" s="179" t="s">
        <v>82</v>
      </c>
      <c r="I5" s="178" t="s">
        <v>83</v>
      </c>
      <c r="J5" s="178" t="s">
        <v>84</v>
      </c>
      <c r="K5" s="178" t="s">
        <v>85</v>
      </c>
      <c r="L5" s="188" t="s">
        <v>86</v>
      </c>
      <c r="M5" s="195" t="s">
        <v>87</v>
      </c>
    </row>
    <row r="6" spans="2:13">
      <c r="B6" s="57">
        <v>1</v>
      </c>
      <c r="C6" s="46">
        <v>0.9</v>
      </c>
      <c r="D6" s="118">
        <v>0.05</v>
      </c>
      <c r="E6" s="122">
        <v>0.93</v>
      </c>
      <c r="F6" s="47" t="str">
        <f t="shared" ref="F6:F11" si="0">_xlfn.IFS(ISBLANK(E6), "AWI", C6&lt;=E6,"MOK",(C6-D6)&lt;=E6,"MCT",C6&gt;E6,"MFL")</f>
        <v>MOK</v>
      </c>
      <c r="G6" s="21" t="s">
        <v>345</v>
      </c>
      <c r="H6" s="21" t="s">
        <v>346</v>
      </c>
      <c r="I6" s="15" t="s">
        <v>97</v>
      </c>
      <c r="J6" s="15" t="s">
        <v>91</v>
      </c>
      <c r="K6" s="15" t="s">
        <v>12</v>
      </c>
      <c r="L6" s="74"/>
      <c r="M6" s="75"/>
    </row>
    <row r="7" spans="2:13">
      <c r="B7" s="57">
        <v>2</v>
      </c>
      <c r="C7" s="46">
        <v>1</v>
      </c>
      <c r="D7" s="118">
        <v>0.1</v>
      </c>
      <c r="E7" s="122">
        <v>0.7</v>
      </c>
      <c r="F7" s="47" t="str">
        <f t="shared" si="0"/>
        <v>MFL</v>
      </c>
      <c r="G7" s="21" t="s">
        <v>347</v>
      </c>
      <c r="H7" s="21" t="s">
        <v>348</v>
      </c>
      <c r="I7" s="15" t="s">
        <v>97</v>
      </c>
      <c r="J7" s="15" t="s">
        <v>91</v>
      </c>
      <c r="K7" s="15" t="s">
        <v>12</v>
      </c>
      <c r="L7" s="74"/>
      <c r="M7" s="76" t="s">
        <v>481</v>
      </c>
    </row>
    <row r="8" spans="2:13">
      <c r="B8" s="57">
        <v>3</v>
      </c>
      <c r="C8" s="46">
        <v>0.8</v>
      </c>
      <c r="D8" s="118">
        <v>0.05</v>
      </c>
      <c r="E8" s="122">
        <v>1</v>
      </c>
      <c r="F8" s="47" t="str">
        <f t="shared" si="0"/>
        <v>MOK</v>
      </c>
      <c r="G8" s="21" t="s">
        <v>349</v>
      </c>
      <c r="H8" s="21" t="s">
        <v>350</v>
      </c>
      <c r="I8" s="15" t="s">
        <v>97</v>
      </c>
      <c r="J8" s="15" t="s">
        <v>91</v>
      </c>
      <c r="K8" s="15" t="s">
        <v>11</v>
      </c>
      <c r="L8" s="74"/>
      <c r="M8" s="76"/>
    </row>
    <row r="9" spans="2:13">
      <c r="B9" s="57">
        <v>4</v>
      </c>
      <c r="C9" s="46">
        <v>1</v>
      </c>
      <c r="D9" s="118">
        <v>0.05</v>
      </c>
      <c r="E9" s="122">
        <v>1</v>
      </c>
      <c r="F9" s="47" t="str">
        <f t="shared" si="0"/>
        <v>MOK</v>
      </c>
      <c r="G9" s="21" t="s">
        <v>351</v>
      </c>
      <c r="H9" s="21" t="s">
        <v>350</v>
      </c>
      <c r="I9" s="15" t="s">
        <v>97</v>
      </c>
      <c r="J9" s="15" t="s">
        <v>91</v>
      </c>
      <c r="K9" s="15" t="s">
        <v>11</v>
      </c>
      <c r="L9" s="74"/>
      <c r="M9" s="76"/>
    </row>
    <row r="10" spans="2:13">
      <c r="B10" s="57">
        <v>5</v>
      </c>
      <c r="C10" s="46">
        <v>1</v>
      </c>
      <c r="D10" s="118">
        <v>0.05</v>
      </c>
      <c r="E10" s="122">
        <v>0.95</v>
      </c>
      <c r="F10" s="47" t="str">
        <f t="shared" si="0"/>
        <v>MCT</v>
      </c>
      <c r="G10" s="21" t="s">
        <v>352</v>
      </c>
      <c r="H10" s="21" t="s">
        <v>353</v>
      </c>
      <c r="I10" s="15" t="s">
        <v>97</v>
      </c>
      <c r="J10" s="15" t="s">
        <v>91</v>
      </c>
      <c r="K10" s="15" t="s">
        <v>12</v>
      </c>
      <c r="L10" s="74"/>
      <c r="M10" s="76"/>
    </row>
    <row r="11" spans="2:13">
      <c r="B11" s="57">
        <v>6</v>
      </c>
      <c r="C11" s="46">
        <v>1</v>
      </c>
      <c r="D11" s="118">
        <v>0.05</v>
      </c>
      <c r="E11" s="122">
        <v>1</v>
      </c>
      <c r="F11" s="47" t="str">
        <f t="shared" si="0"/>
        <v>MOK</v>
      </c>
      <c r="G11" s="21" t="s">
        <v>354</v>
      </c>
      <c r="H11" s="21" t="s">
        <v>355</v>
      </c>
      <c r="I11" s="15" t="s">
        <v>97</v>
      </c>
      <c r="J11" s="15" t="s">
        <v>91</v>
      </c>
      <c r="K11" s="15" t="s">
        <v>12</v>
      </c>
      <c r="L11" s="74"/>
      <c r="M11" s="76"/>
    </row>
    <row r="12" spans="2:13">
      <c r="B12" s="57">
        <v>7</v>
      </c>
      <c r="C12" s="53">
        <v>2</v>
      </c>
      <c r="D12" s="119">
        <v>0</v>
      </c>
      <c r="E12" s="123">
        <v>2</v>
      </c>
      <c r="F12" s="47" t="s">
        <v>49</v>
      </c>
      <c r="G12" s="21" t="s">
        <v>356</v>
      </c>
      <c r="H12" s="21" t="s">
        <v>350</v>
      </c>
      <c r="I12" s="15" t="s">
        <v>97</v>
      </c>
      <c r="J12" s="15" t="s">
        <v>182</v>
      </c>
      <c r="K12" s="15" t="s">
        <v>11</v>
      </c>
      <c r="L12" s="74"/>
      <c r="M12" s="76"/>
    </row>
    <row r="13" spans="2:13">
      <c r="B13" s="57">
        <v>8</v>
      </c>
      <c r="C13" s="55">
        <v>2</v>
      </c>
      <c r="D13" s="120">
        <v>0</v>
      </c>
      <c r="E13" s="123">
        <v>2</v>
      </c>
      <c r="F13" s="47" t="s">
        <v>311</v>
      </c>
      <c r="G13" s="21" t="s">
        <v>357</v>
      </c>
      <c r="H13" s="21" t="s">
        <v>350</v>
      </c>
      <c r="I13" s="15" t="s">
        <v>97</v>
      </c>
      <c r="J13" s="15" t="s">
        <v>182</v>
      </c>
      <c r="K13" s="15" t="s">
        <v>11</v>
      </c>
      <c r="L13" s="74"/>
      <c r="M13" s="76"/>
    </row>
    <row r="14" spans="2:13">
      <c r="B14" s="59">
        <v>9</v>
      </c>
      <c r="C14" s="60">
        <v>4</v>
      </c>
      <c r="D14" s="121">
        <v>0</v>
      </c>
      <c r="E14" s="124">
        <v>4</v>
      </c>
      <c r="F14" s="47" t="s">
        <v>358</v>
      </c>
      <c r="G14" s="62" t="s">
        <v>359</v>
      </c>
      <c r="H14" s="62" t="s">
        <v>350</v>
      </c>
      <c r="I14" s="63" t="s">
        <v>97</v>
      </c>
      <c r="J14" s="63" t="s">
        <v>182</v>
      </c>
      <c r="K14" s="63" t="s">
        <v>11</v>
      </c>
      <c r="L14" s="107"/>
      <c r="M14" s="77"/>
    </row>
    <row r="17" spans="2:13">
      <c r="B17" s="367" t="s">
        <v>16</v>
      </c>
      <c r="C17" s="368"/>
      <c r="D17" s="368"/>
      <c r="E17" s="368"/>
      <c r="F17" s="368"/>
      <c r="G17" s="368"/>
      <c r="H17" s="368"/>
      <c r="I17" s="368"/>
      <c r="J17" s="368"/>
      <c r="K17" s="368"/>
      <c r="L17" s="368"/>
      <c r="M17" s="369"/>
    </row>
    <row r="18" spans="2:13">
      <c r="B18" s="204" t="s">
        <v>77</v>
      </c>
      <c r="C18" s="205" t="s">
        <v>78</v>
      </c>
      <c r="D18" s="206" t="s">
        <v>132</v>
      </c>
      <c r="E18" s="203" t="s">
        <v>80</v>
      </c>
      <c r="F18" s="180" t="s">
        <v>81</v>
      </c>
      <c r="G18" s="194" t="s">
        <v>45</v>
      </c>
      <c r="H18" s="194" t="s">
        <v>82</v>
      </c>
      <c r="I18" s="193" t="s">
        <v>83</v>
      </c>
      <c r="J18" s="193" t="s">
        <v>84</v>
      </c>
      <c r="K18" s="193" t="s">
        <v>85</v>
      </c>
      <c r="L18" s="196" t="s">
        <v>86</v>
      </c>
      <c r="M18" s="195" t="s">
        <v>87</v>
      </c>
    </row>
    <row r="19" spans="2:13">
      <c r="B19" s="33">
        <v>1</v>
      </c>
      <c r="C19" s="127">
        <v>43922</v>
      </c>
      <c r="D19" s="125" t="s">
        <v>134</v>
      </c>
      <c r="E19" s="131">
        <v>43922</v>
      </c>
      <c r="F19" s="41" t="str">
        <f>_xlfn.IFS(ISBLANK(E19), "MSU", C19&gt;=E19,"MSA",C19&lt;E19,"MOD")</f>
        <v>MSA</v>
      </c>
      <c r="G19" s="36" t="s">
        <v>360</v>
      </c>
      <c r="H19" s="40"/>
      <c r="I19" s="33"/>
      <c r="J19" s="33"/>
      <c r="K19" s="33" t="s">
        <v>26</v>
      </c>
      <c r="L19" s="134"/>
      <c r="M19" s="75"/>
    </row>
    <row r="20" spans="2:13">
      <c r="B20" s="34">
        <v>2</v>
      </c>
      <c r="C20" s="128">
        <v>43984</v>
      </c>
      <c r="D20" s="125" t="s">
        <v>134</v>
      </c>
      <c r="E20" s="131">
        <v>43952</v>
      </c>
      <c r="F20" s="41" t="str">
        <f>_xlfn.IFS(ISBLANK(E20), "MSU", C20&gt;=E20,"MSA",C20&lt;E20,"MOD")</f>
        <v>MSA</v>
      </c>
      <c r="G20" s="37" t="s">
        <v>361</v>
      </c>
      <c r="H20" s="38"/>
      <c r="I20" s="34"/>
      <c r="J20" s="34"/>
      <c r="K20" s="34" t="s">
        <v>26</v>
      </c>
      <c r="L20" s="129"/>
      <c r="M20" s="76"/>
    </row>
    <row r="21" spans="2:13">
      <c r="B21" s="34">
        <v>3</v>
      </c>
      <c r="C21" s="128">
        <v>44045</v>
      </c>
      <c r="D21" s="125" t="s">
        <v>134</v>
      </c>
      <c r="E21" s="131">
        <v>44044</v>
      </c>
      <c r="F21" s="41" t="str">
        <f t="shared" ref="F21:F37" si="1">_xlfn.IFS(ISBLANK(E21), "MSU", C21&gt;=E21,"MSA",C21&lt;E21,"MOD")</f>
        <v>MSA</v>
      </c>
      <c r="G21" s="37" t="s">
        <v>362</v>
      </c>
      <c r="H21" s="38"/>
      <c r="I21" s="34"/>
      <c r="J21" s="34"/>
      <c r="K21" s="34" t="s">
        <v>26</v>
      </c>
      <c r="L21" s="129"/>
      <c r="M21" s="76"/>
    </row>
    <row r="22" spans="2:13">
      <c r="B22" s="34">
        <v>4</v>
      </c>
      <c r="C22" s="128">
        <v>44044</v>
      </c>
      <c r="D22" s="125" t="s">
        <v>134</v>
      </c>
      <c r="E22" s="131">
        <v>44044</v>
      </c>
      <c r="F22" s="41" t="str">
        <f t="shared" si="1"/>
        <v>MSA</v>
      </c>
      <c r="G22" s="37" t="s">
        <v>363</v>
      </c>
      <c r="H22" s="38"/>
      <c r="I22" s="34"/>
      <c r="J22" s="34"/>
      <c r="K22" s="34" t="s">
        <v>26</v>
      </c>
      <c r="L22" s="129"/>
      <c r="M22" s="76"/>
    </row>
    <row r="23" spans="2:13">
      <c r="B23" s="34">
        <v>5</v>
      </c>
      <c r="C23" s="128">
        <v>43922</v>
      </c>
      <c r="D23" s="125" t="s">
        <v>134</v>
      </c>
      <c r="E23" s="131">
        <v>43891</v>
      </c>
      <c r="F23" s="41" t="str">
        <f t="shared" si="1"/>
        <v>MSA</v>
      </c>
      <c r="G23" s="37" t="s">
        <v>364</v>
      </c>
      <c r="H23" s="38"/>
      <c r="I23" s="34"/>
      <c r="J23" s="34"/>
      <c r="K23" s="34" t="s">
        <v>26</v>
      </c>
      <c r="L23" s="129"/>
      <c r="M23" s="76"/>
    </row>
    <row r="24" spans="2:13">
      <c r="B24" s="34">
        <v>6</v>
      </c>
      <c r="C24" s="128">
        <v>44440</v>
      </c>
      <c r="D24" s="125" t="s">
        <v>134</v>
      </c>
      <c r="E24" s="131">
        <v>43922</v>
      </c>
      <c r="F24" s="41" t="str">
        <f t="shared" si="1"/>
        <v>MSA</v>
      </c>
      <c r="G24" s="37" t="s">
        <v>365</v>
      </c>
      <c r="H24" s="38"/>
      <c r="I24" s="34"/>
      <c r="J24" s="34"/>
      <c r="K24" s="34" t="s">
        <v>26</v>
      </c>
      <c r="L24" s="129"/>
      <c r="M24" s="76"/>
    </row>
    <row r="25" spans="2:13">
      <c r="B25" s="34">
        <v>7</v>
      </c>
      <c r="C25" s="128">
        <v>44470</v>
      </c>
      <c r="D25" s="125" t="s">
        <v>134</v>
      </c>
      <c r="E25" s="131">
        <v>43922</v>
      </c>
      <c r="F25" s="41" t="str">
        <f t="shared" si="1"/>
        <v>MSA</v>
      </c>
      <c r="G25" s="37" t="s">
        <v>366</v>
      </c>
      <c r="H25" s="38"/>
      <c r="I25" s="34"/>
      <c r="J25" s="34"/>
      <c r="K25" s="34" t="s">
        <v>26</v>
      </c>
      <c r="L25" s="129"/>
      <c r="M25" s="76"/>
    </row>
    <row r="26" spans="2:13">
      <c r="B26" s="34">
        <v>8</v>
      </c>
      <c r="C26" s="128">
        <v>45171</v>
      </c>
      <c r="D26" s="125" t="s">
        <v>134</v>
      </c>
      <c r="E26" s="131">
        <v>44531</v>
      </c>
      <c r="F26" s="41" t="str">
        <f t="shared" si="1"/>
        <v>MSA</v>
      </c>
      <c r="G26" s="37" t="s">
        <v>367</v>
      </c>
      <c r="H26" s="38"/>
      <c r="I26" s="34"/>
      <c r="J26" s="34"/>
      <c r="K26" s="34" t="s">
        <v>26</v>
      </c>
      <c r="L26" s="129"/>
      <c r="M26" s="76"/>
    </row>
    <row r="27" spans="2:13">
      <c r="B27" s="34">
        <v>9</v>
      </c>
      <c r="C27" s="128">
        <v>45202</v>
      </c>
      <c r="D27" s="125" t="s">
        <v>134</v>
      </c>
      <c r="E27" s="131"/>
      <c r="F27" s="42" t="str">
        <f t="shared" si="1"/>
        <v>MSU</v>
      </c>
      <c r="G27" s="37" t="s">
        <v>366</v>
      </c>
      <c r="H27" s="38"/>
      <c r="I27" s="34"/>
      <c r="J27" s="34"/>
      <c r="K27" s="34" t="s">
        <v>26</v>
      </c>
      <c r="L27" s="129"/>
      <c r="M27" s="76"/>
    </row>
    <row r="28" spans="2:13">
      <c r="B28" s="34">
        <v>10</v>
      </c>
      <c r="C28" s="128">
        <v>45017</v>
      </c>
      <c r="D28" s="125" t="s">
        <v>134</v>
      </c>
      <c r="E28" s="131"/>
      <c r="F28" s="43" t="str">
        <f t="shared" si="1"/>
        <v>MSU</v>
      </c>
      <c r="G28" s="37" t="s">
        <v>368</v>
      </c>
      <c r="H28" s="38"/>
      <c r="I28" s="34"/>
      <c r="J28" s="34"/>
      <c r="K28" s="34" t="s">
        <v>26</v>
      </c>
      <c r="L28" s="129"/>
      <c r="M28" s="76"/>
    </row>
    <row r="29" spans="2:13">
      <c r="B29" s="34">
        <v>11</v>
      </c>
      <c r="C29" s="129" t="s">
        <v>369</v>
      </c>
      <c r="D29" s="76"/>
      <c r="E29" s="132"/>
      <c r="F29" s="14" t="str">
        <f t="shared" si="1"/>
        <v>MSU</v>
      </c>
      <c r="G29" s="38" t="s">
        <v>370</v>
      </c>
      <c r="H29" s="38"/>
      <c r="I29" s="34"/>
      <c r="J29" s="34" t="s">
        <v>371</v>
      </c>
      <c r="K29" s="34" t="s">
        <v>30</v>
      </c>
      <c r="L29" s="129"/>
      <c r="M29" s="76"/>
    </row>
    <row r="30" spans="2:13">
      <c r="B30" s="34">
        <v>12</v>
      </c>
      <c r="C30" s="128">
        <v>44104</v>
      </c>
      <c r="D30" s="125" t="s">
        <v>134</v>
      </c>
      <c r="E30" s="131">
        <v>44075</v>
      </c>
      <c r="F30" s="41" t="str">
        <f t="shared" si="1"/>
        <v>MSA</v>
      </c>
      <c r="G30" s="38" t="s">
        <v>372</v>
      </c>
      <c r="H30" s="38"/>
      <c r="I30" s="34"/>
      <c r="J30" s="34" t="s">
        <v>182</v>
      </c>
      <c r="K30" s="34" t="s">
        <v>373</v>
      </c>
      <c r="L30" s="129"/>
      <c r="M30" s="76"/>
    </row>
    <row r="31" spans="2:13">
      <c r="B31" s="34">
        <v>13</v>
      </c>
      <c r="C31" s="128">
        <v>44196</v>
      </c>
      <c r="D31" s="125" t="s">
        <v>134</v>
      </c>
      <c r="E31" s="131">
        <v>44105</v>
      </c>
      <c r="F31" s="41" t="str">
        <f t="shared" si="1"/>
        <v>MSA</v>
      </c>
      <c r="G31" s="38" t="s">
        <v>374</v>
      </c>
      <c r="H31" s="38"/>
      <c r="I31" s="34"/>
      <c r="J31" s="34" t="s">
        <v>182</v>
      </c>
      <c r="K31" s="34" t="s">
        <v>30</v>
      </c>
      <c r="L31" s="129"/>
      <c r="M31" s="76"/>
    </row>
    <row r="32" spans="2:13">
      <c r="B32" s="34">
        <v>14</v>
      </c>
      <c r="C32" s="128">
        <v>44469</v>
      </c>
      <c r="D32" s="125" t="s">
        <v>134</v>
      </c>
      <c r="E32" s="131">
        <v>44440</v>
      </c>
      <c r="F32" s="41" t="str">
        <f t="shared" si="1"/>
        <v>MSA</v>
      </c>
      <c r="G32" s="38" t="s">
        <v>372</v>
      </c>
      <c r="H32" s="38"/>
      <c r="I32" s="34"/>
      <c r="J32" s="34" t="s">
        <v>182</v>
      </c>
      <c r="K32" s="34" t="s">
        <v>373</v>
      </c>
      <c r="L32" s="129"/>
      <c r="M32" s="76"/>
    </row>
    <row r="33" spans="2:13">
      <c r="B33" s="34">
        <v>15</v>
      </c>
      <c r="C33" s="128">
        <v>44561</v>
      </c>
      <c r="D33" s="125" t="s">
        <v>134</v>
      </c>
      <c r="E33" s="131">
        <v>44531</v>
      </c>
      <c r="F33" s="41" t="str">
        <f t="shared" si="1"/>
        <v>MSA</v>
      </c>
      <c r="G33" s="38" t="s">
        <v>375</v>
      </c>
      <c r="H33" s="38"/>
      <c r="I33" s="34"/>
      <c r="J33" s="34" t="s">
        <v>182</v>
      </c>
      <c r="K33" s="34" t="s">
        <v>30</v>
      </c>
      <c r="L33" s="129"/>
      <c r="M33" s="76"/>
    </row>
    <row r="34" spans="2:13">
      <c r="B34" s="34">
        <v>16</v>
      </c>
      <c r="C34" s="128">
        <v>44834</v>
      </c>
      <c r="D34" s="125" t="s">
        <v>134</v>
      </c>
      <c r="E34" s="132"/>
      <c r="F34" s="41" t="str">
        <f>_xlfn.IFS(ISBLANK(E34), "MSU", C34&gt;=E34,"MSA",C34&lt;E34,"MOD")</f>
        <v>MSU</v>
      </c>
      <c r="G34" s="38" t="s">
        <v>372</v>
      </c>
      <c r="H34" s="38"/>
      <c r="I34" s="34"/>
      <c r="J34" s="34" t="s">
        <v>182</v>
      </c>
      <c r="K34" s="34" t="s">
        <v>373</v>
      </c>
      <c r="L34" s="129"/>
      <c r="M34" s="76"/>
    </row>
    <row r="35" spans="2:13">
      <c r="B35" s="34">
        <v>17</v>
      </c>
      <c r="C35" s="128">
        <v>44926</v>
      </c>
      <c r="D35" s="125"/>
      <c r="E35" s="132"/>
      <c r="F35" s="41" t="str">
        <f>_xlfn.IFS(ISBLANK(E35), "MSU", C35&gt;=E35,"MSA",C35&lt;E35,"MOD")</f>
        <v>MSU</v>
      </c>
      <c r="G35" s="38" t="s">
        <v>376</v>
      </c>
      <c r="H35" s="38"/>
      <c r="I35" s="34"/>
      <c r="J35" s="34" t="s">
        <v>182</v>
      </c>
      <c r="K35" s="34" t="s">
        <v>30</v>
      </c>
      <c r="L35" s="129"/>
      <c r="M35" s="76"/>
    </row>
    <row r="36" spans="2:13">
      <c r="B36" s="34">
        <v>18</v>
      </c>
      <c r="C36" s="128">
        <v>45199</v>
      </c>
      <c r="D36" s="125"/>
      <c r="E36" s="132"/>
      <c r="F36" s="41" t="str">
        <f t="shared" si="1"/>
        <v>MSU</v>
      </c>
      <c r="G36" s="38" t="s">
        <v>372</v>
      </c>
      <c r="H36" s="38"/>
      <c r="I36" s="34"/>
      <c r="J36" s="34" t="s">
        <v>182</v>
      </c>
      <c r="K36" s="34" t="s">
        <v>373</v>
      </c>
      <c r="L36" s="129"/>
      <c r="M36" s="76"/>
    </row>
    <row r="37" spans="2:13">
      <c r="B37" s="35">
        <v>19</v>
      </c>
      <c r="C37" s="130">
        <v>45291</v>
      </c>
      <c r="D37" s="126"/>
      <c r="E37" s="133"/>
      <c r="F37" s="41" t="str">
        <f t="shared" si="1"/>
        <v>MSU</v>
      </c>
      <c r="G37" s="39" t="s">
        <v>377</v>
      </c>
      <c r="H37" s="39"/>
      <c r="I37" s="35"/>
      <c r="J37" s="35" t="s">
        <v>182</v>
      </c>
      <c r="K37" s="35" t="s">
        <v>30</v>
      </c>
      <c r="L37" s="135"/>
      <c r="M37" s="77"/>
    </row>
  </sheetData>
  <mergeCells count="3">
    <mergeCell ref="B2:D2"/>
    <mergeCell ref="B4:M4"/>
    <mergeCell ref="B17:M17"/>
  </mergeCells>
  <conditionalFormatting sqref="F6:F14">
    <cfRule type="cellIs" dxfId="8" priority="7" operator="equal">
      <formula>"MCT"</formula>
    </cfRule>
    <cfRule type="cellIs" dxfId="7" priority="8" operator="equal">
      <formula>"MFL"</formula>
    </cfRule>
    <cfRule type="cellIs" dxfId="6" priority="9" operator="equal">
      <formula>"MOK"</formula>
    </cfRule>
  </conditionalFormatting>
  <conditionalFormatting sqref="F19">
    <cfRule type="cellIs" dxfId="5" priority="4" operator="equal">
      <formula>"MSU"</formula>
    </cfRule>
    <cfRule type="cellIs" dxfId="4" priority="5" operator="equal">
      <formula>"MOD"</formula>
    </cfRule>
    <cfRule type="cellIs" dxfId="3" priority="6" operator="equal">
      <formula>"MSA"</formula>
    </cfRule>
  </conditionalFormatting>
  <conditionalFormatting sqref="F20:F37">
    <cfRule type="cellIs" dxfId="2" priority="1" operator="equal">
      <formula>"MSU"</formula>
    </cfRule>
    <cfRule type="cellIs" dxfId="1" priority="2" operator="equal">
      <formula>"MOD"</formula>
    </cfRule>
    <cfRule type="cellIs" dxfId="0" priority="3" operator="equal">
      <formula>"MSA"</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Map</vt:lpstr>
      <vt:lpstr>Overview</vt:lpstr>
      <vt:lpstr>WP1a</vt:lpstr>
      <vt:lpstr>WP1b</vt:lpstr>
      <vt:lpstr>WP1c</vt:lpstr>
      <vt:lpstr>WP2</vt:lpstr>
      <vt:lpstr>WP3</vt:lpstr>
      <vt:lpstr>WP4</vt:lpstr>
      <vt:lpstr>WP5</vt:lpstr>
      <vt:lpstr>Index</vt:lpstr>
      <vt:lpstr>Milestones&amp;Deliverables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Roy</dc:creator>
  <cp:keywords/>
  <dc:description/>
  <cp:lastModifiedBy>Sam Skipsey</cp:lastModifiedBy>
  <cp:revision/>
  <cp:lastPrinted>2022-04-12T13:43:48Z</cp:lastPrinted>
  <dcterms:created xsi:type="dcterms:W3CDTF">2020-05-12T08:46:24Z</dcterms:created>
  <dcterms:modified xsi:type="dcterms:W3CDTF">2022-10-20T10:58:03Z</dcterms:modified>
  <cp:category/>
  <cp:contentStatus/>
</cp:coreProperties>
</file>