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8"/>
  <workbookPr/>
  <mc:AlternateContent xmlns:mc="http://schemas.openxmlformats.org/markup-compatibility/2006">
    <mc:Choice Requires="x15">
      <x15ac:absPath xmlns:x15ac="http://schemas.microsoft.com/office/spreadsheetml/2010/11/ac" url="/Users/dewhurst/Documents/GridPP-PMB/QuarterlyReports/2020Q1/"/>
    </mc:Choice>
  </mc:AlternateContent>
  <xr:revisionPtr revIDLastSave="0" documentId="13_ncr:1_{2083453C-C586-6B42-8A26-667976A166F7}" xr6:coauthVersionLast="45" xr6:coauthVersionMax="45" xr10:uidLastSave="{00000000-0000-0000-0000-000000000000}"/>
  <bookViews>
    <workbookView xWindow="0" yWindow="460" windowWidth="28800" windowHeight="17540" tabRatio="500" activeTab="5" xr2:uid="{00000000-000D-0000-FFFF-FFFF00000000}"/>
  </bookViews>
  <sheets>
    <sheet name="Metrics" sheetId="1" r:id="rId1"/>
    <sheet name="Milestones" sheetId="2" r:id="rId2"/>
    <sheet name="Manpower Q419" sheetId="3" r:id="rId3"/>
    <sheet name="Manpower Q120" sheetId="4" r:id="rId4"/>
    <sheet name="Narrative Q419" sheetId="5" r:id="rId5"/>
    <sheet name="Narrative Q120" sheetId="6" r:id="rId6"/>
    <sheet name="EVAL" sheetId="7" r:id="rId7"/>
  </sheets>
  <definedNames>
    <definedName name="_xlnm._FilterDatabase" localSheetId="0">Metrics!$A$8:$K$40</definedName>
    <definedName name="_xlnm._FilterDatabase" localSheetId="1">Milestones!$8:$30</definedName>
  </definedNames>
  <calcPr calcId="19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S15" i="1" l="1"/>
  <c r="B4" i="6" l="1"/>
  <c r="B3" i="6"/>
  <c r="B2" i="6"/>
  <c r="B4" i="5"/>
  <c r="B3" i="5"/>
  <c r="B2" i="5"/>
  <c r="I22" i="4"/>
  <c r="H22" i="4"/>
  <c r="G22" i="4"/>
  <c r="F22" i="4"/>
  <c r="E22" i="4"/>
  <c r="D22" i="4"/>
  <c r="I16" i="4"/>
  <c r="H16" i="4"/>
  <c r="G16" i="4"/>
  <c r="D16" i="4"/>
  <c r="B4" i="4"/>
  <c r="I22" i="3"/>
  <c r="H22" i="3"/>
  <c r="G22" i="3"/>
  <c r="F22" i="3"/>
  <c r="E22" i="3"/>
  <c r="D22" i="3"/>
  <c r="I16" i="3"/>
  <c r="H16" i="3"/>
  <c r="G16" i="3"/>
  <c r="D16" i="3"/>
  <c r="B4" i="3"/>
  <c r="B5" i="2"/>
  <c r="B4" i="2"/>
  <c r="B3" i="2"/>
  <c r="L40" i="1"/>
  <c r="K40" i="1"/>
  <c r="J40" i="1"/>
  <c r="I40" i="1"/>
  <c r="H40" i="1"/>
  <c r="G40" i="1"/>
  <c r="F40" i="1"/>
  <c r="M39" i="1"/>
  <c r="L39" i="1"/>
  <c r="K39" i="1"/>
  <c r="J39" i="1"/>
  <c r="I39" i="1"/>
  <c r="G39" i="1"/>
  <c r="Q38" i="1"/>
  <c r="M38" i="1"/>
  <c r="L38" i="1"/>
  <c r="K38" i="1"/>
  <c r="J38" i="1"/>
  <c r="I38" i="1"/>
  <c r="H38" i="1"/>
  <c r="G38" i="1"/>
  <c r="Q37" i="1"/>
  <c r="M37" i="1"/>
  <c r="L37" i="1"/>
  <c r="K37" i="1"/>
  <c r="J37" i="1"/>
  <c r="I37" i="1"/>
  <c r="H37" i="1"/>
  <c r="G37" i="1"/>
  <c r="M36" i="1"/>
  <c r="L36" i="1"/>
  <c r="K36" i="1"/>
  <c r="J36" i="1"/>
  <c r="I36" i="1"/>
  <c r="H36" i="1"/>
  <c r="G36" i="1"/>
  <c r="L35" i="1"/>
  <c r="K35" i="1"/>
  <c r="J35" i="1"/>
  <c r="I35" i="1"/>
  <c r="H35" i="1"/>
  <c r="G35" i="1"/>
  <c r="L34" i="1"/>
  <c r="K34" i="1"/>
  <c r="J34" i="1"/>
  <c r="I34" i="1"/>
  <c r="H34" i="1"/>
  <c r="G34" i="1"/>
  <c r="M33" i="1"/>
  <c r="L33" i="1"/>
  <c r="K33" i="1"/>
  <c r="J33" i="1"/>
  <c r="I33" i="1"/>
  <c r="H33" i="1"/>
  <c r="G33" i="1"/>
  <c r="M32" i="1"/>
  <c r="L32" i="1"/>
  <c r="K32" i="1"/>
  <c r="J32" i="1"/>
  <c r="I32" i="1"/>
  <c r="H32" i="1"/>
  <c r="G32" i="1"/>
  <c r="L31" i="1"/>
  <c r="K31" i="1"/>
  <c r="J31" i="1"/>
  <c r="I31" i="1"/>
  <c r="H31" i="1"/>
  <c r="G31" i="1"/>
  <c r="M30" i="1"/>
  <c r="L30" i="1"/>
  <c r="K30" i="1"/>
  <c r="J30" i="1"/>
  <c r="I30" i="1"/>
  <c r="H30" i="1"/>
  <c r="G30" i="1"/>
  <c r="L28" i="1"/>
  <c r="K28" i="1"/>
  <c r="J28" i="1"/>
  <c r="I28" i="1"/>
  <c r="H28" i="1"/>
  <c r="G28" i="1"/>
  <c r="M27" i="1"/>
  <c r="L27" i="1"/>
  <c r="K27" i="1"/>
  <c r="J27" i="1"/>
  <c r="I27" i="1"/>
  <c r="H27" i="1"/>
  <c r="G27" i="1"/>
  <c r="L26" i="1"/>
  <c r="K26" i="1"/>
  <c r="J26" i="1"/>
  <c r="I26" i="1"/>
  <c r="H26" i="1"/>
  <c r="G26" i="1"/>
  <c r="L25" i="1"/>
  <c r="K25" i="1"/>
  <c r="J25" i="1"/>
  <c r="I25" i="1"/>
  <c r="H25" i="1"/>
  <c r="G25" i="1"/>
  <c r="L24" i="1"/>
  <c r="K24" i="1"/>
  <c r="J24" i="1"/>
  <c r="I24" i="1"/>
  <c r="H24" i="1"/>
  <c r="G24" i="1"/>
  <c r="L23" i="1"/>
  <c r="K23" i="1"/>
  <c r="J23" i="1"/>
  <c r="I23" i="1"/>
  <c r="H23" i="1"/>
  <c r="G23" i="1"/>
  <c r="L22" i="1"/>
  <c r="K22" i="1"/>
  <c r="J22" i="1"/>
  <c r="I22" i="1"/>
  <c r="H22" i="1"/>
  <c r="G22" i="1"/>
  <c r="L21" i="1"/>
  <c r="K21" i="1"/>
  <c r="J21" i="1"/>
  <c r="I21" i="1"/>
  <c r="H21" i="1"/>
  <c r="G21" i="1"/>
  <c r="L20" i="1"/>
  <c r="K20" i="1"/>
  <c r="J20" i="1"/>
  <c r="I20" i="1"/>
  <c r="G20" i="1"/>
  <c r="L19" i="1"/>
  <c r="K19" i="1"/>
  <c r="J19" i="1"/>
  <c r="I19" i="1"/>
  <c r="H19" i="1"/>
  <c r="G19" i="1"/>
  <c r="L18" i="1"/>
  <c r="K18" i="1"/>
  <c r="J18" i="1"/>
  <c r="I18" i="1"/>
  <c r="H18" i="1"/>
  <c r="G18" i="1"/>
  <c r="L17" i="1"/>
  <c r="K17" i="1"/>
  <c r="J17" i="1"/>
  <c r="I17" i="1"/>
  <c r="G17" i="1"/>
  <c r="R15" i="1"/>
  <c r="Q15" i="1"/>
  <c r="O15" i="1"/>
  <c r="M15" i="1"/>
  <c r="M10" i="1"/>
  <c r="L10" i="1"/>
  <c r="K10" i="1"/>
  <c r="J10" i="1"/>
  <c r="I10" i="1"/>
  <c r="H10" i="1"/>
  <c r="G10" i="1"/>
  <c r="M9" i="1"/>
  <c r="L9" i="1"/>
  <c r="K9" i="1"/>
  <c r="J9" i="1"/>
  <c r="I9" i="1"/>
  <c r="G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1" authorId="0" shapeId="0" xr:uid="{00000000-0006-0000-0200-000001000000}">
      <text>
        <r>
          <rPr>
            <sz val="10"/>
            <rFont val="Arial"/>
            <charset val="1"/>
          </rPr>
          <t xml:space="preserve">gronbech:
</t>
        </r>
        <r>
          <rPr>
            <sz val="9"/>
            <color rgb="FF000000"/>
            <rFont val="Tahoma"/>
            <family val="2"/>
            <charset val="1"/>
          </rPr>
          <t>expect 0.7FTE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21" authorId="0" shapeId="0" xr:uid="{00000000-0006-0000-0300-000001000000}">
      <text>
        <r>
          <rPr>
            <sz val="10"/>
            <color rgb="FF000000"/>
            <rFont val="Arial"/>
            <charset val="1"/>
          </rPr>
          <t xml:space="preserve">gronbech:
</t>
        </r>
        <r>
          <rPr>
            <sz val="9"/>
            <color rgb="FF000000"/>
            <rFont val="Tahoma"/>
            <family val="2"/>
            <charset val="1"/>
          </rPr>
          <t>expect 0.7FTE</t>
        </r>
      </text>
    </comment>
  </commentList>
</comments>
</file>

<file path=xl/sharedStrings.xml><?xml version="1.0" encoding="utf-8"?>
<sst xmlns="http://schemas.openxmlformats.org/spreadsheetml/2006/main" count="617" uniqueCount="340">
  <si>
    <t>GridPP Quarterly Report</t>
  </si>
  <si>
    <t>OK</t>
  </si>
  <si>
    <t>Area</t>
  </si>
  <si>
    <t>Tier-1</t>
  </si>
  <si>
    <t>Close to target</t>
  </si>
  <si>
    <t>Quarter</t>
  </si>
  <si>
    <t>Q1 2020</t>
  </si>
  <si>
    <t>Not OK</t>
  </si>
  <si>
    <t>Reported by</t>
  </si>
  <si>
    <t>Darren Moore</t>
  </si>
  <si>
    <t>Not yet able to be measured</t>
  </si>
  <si>
    <t>Suspended</t>
  </si>
  <si>
    <t>GridPP no.</t>
  </si>
  <si>
    <t>Tier-1 no.</t>
  </si>
  <si>
    <t>Description</t>
  </si>
  <si>
    <t>Source</t>
  </si>
  <si>
    <t>Owner</t>
  </si>
  <si>
    <t>Target</t>
  </si>
  <si>
    <t>Q117</t>
  </si>
  <si>
    <t>Q217</t>
  </si>
  <si>
    <t>Q317</t>
  </si>
  <si>
    <t>Q417</t>
  </si>
  <si>
    <t>Q118</t>
  </si>
  <si>
    <t>Q218</t>
  </si>
  <si>
    <t>Q318</t>
  </si>
  <si>
    <t>Q418</t>
  </si>
  <si>
    <t>Q119</t>
  </si>
  <si>
    <t>Q219</t>
  </si>
  <si>
    <t>Q319</t>
  </si>
  <si>
    <t>Q419</t>
  </si>
  <si>
    <t>Q120</t>
  </si>
  <si>
    <t>Comment Q117</t>
  </si>
  <si>
    <t>Comment Q217</t>
  </si>
  <si>
    <t>Comment Q317</t>
  </si>
  <si>
    <t>Comment Q417</t>
  </si>
  <si>
    <t>Comment Q118</t>
  </si>
  <si>
    <t>Comment Q218</t>
  </si>
  <si>
    <t>Comment Q318</t>
  </si>
  <si>
    <t>Comments Q418</t>
  </si>
  <si>
    <t>Comments Q119</t>
  </si>
  <si>
    <t>Comments Q219</t>
  </si>
  <si>
    <t>Comments Q319</t>
  </si>
  <si>
    <t>Comments Q419</t>
  </si>
  <si>
    <t>Comments Q120</t>
  </si>
  <si>
    <t>1.1.1</t>
  </si>
  <si>
    <t>1.2.7</t>
  </si>
  <si>
    <t>Fraction of WLCG MoU commitment for CPU 100 %</t>
  </si>
  <si>
    <t>&gt;100%</t>
  </si>
  <si>
    <t>Metrics recording process failed for this quarter</t>
  </si>
  <si>
    <t>1.1.2</t>
  </si>
  <si>
    <t>1.6.3</t>
  </si>
  <si>
    <t>% met of GRIDPP T1-RB allocation for CPU 100 %</t>
  </si>
  <si>
    <t>1.1.3</t>
  </si>
  <si>
    <t>Availability of CE service 99 %</t>
  </si>
  <si>
    <t>1.1.4</t>
  </si>
  <si>
    <t>Number of Security Incidents 2 per year</t>
  </si>
  <si>
    <t>Security Challenge Accepted</t>
  </si>
  <si>
    <t>1.1.5</t>
  </si>
  <si>
    <t xml:space="preserve"># level 3 incidents(newly entered or active) in disaster management system 0  </t>
  </si>
  <si>
    <t>Escalated problem LHCb had with Castor while running stipping/merging campain. Led to reverting LHCb Castor SRM upgrade.</t>
  </si>
  <si>
    <t>1.1.6</t>
  </si>
  <si>
    <t xml:space="preserve"># level 4 incidents (newly entered or active) in disaster management system 0  </t>
  </si>
  <si>
    <t>Andrew Sansum</t>
  </si>
  <si>
    <t>1.1.7</t>
  </si>
  <si>
    <t>Percentage of GRIDPP4 Staff in Post 93 %</t>
  </si>
  <si>
    <t>1.2.1</t>
  </si>
  <si>
    <t>1.2.8</t>
  </si>
  <si>
    <t>Fraction of WLCG MoU commitment for Disk 100 %</t>
  </si>
  <si>
    <t>1.2.2</t>
  </si>
  <si>
    <t>1.2.9</t>
  </si>
  <si>
    <t xml:space="preserve"> Fraction of WLCG MoU commitment for Tape 100 %</t>
  </si>
  <si>
    <t>There was a temporary shortage of tape during this quarter while we were sorting out a procurement of more tape media. During this time the free tape pool reduced and Atlas &amp; CMS deleted some files off tape for us to help.</t>
  </si>
  <si>
    <t>1.2.3</t>
  </si>
  <si>
    <t>1.6.1</t>
  </si>
  <si>
    <t>% met of GRIDPP T1RB Allocation for Tape   100 %</t>
  </si>
  <si>
    <t>100%%</t>
  </si>
  <si>
    <t>See comment above for metric 1.2.2.</t>
  </si>
  <si>
    <t>1.2.4</t>
  </si>
  <si>
    <t>1.6.2</t>
  </si>
  <si>
    <t>% met of GRIDPP T1RB Allocation for Disk  100 %</t>
  </si>
  <si>
    <t>There has been some delay getting storage into Echo.</t>
  </si>
  <si>
    <t>1.2.5</t>
  </si>
  <si>
    <t>7.1.3</t>
  </si>
  <si>
    <t># Storage node failures leading to filesystem loss or damage</t>
  </si>
  <si>
    <t>Kashif Hafeez</t>
  </si>
  <si>
    <t>1.2.6</t>
  </si>
  <si>
    <t>7.1.4</t>
  </si>
  <si>
    <t>% Lost disk server hours due to hardware problems over deployed base</t>
  </si>
  <si>
    <t>&lt;1%</t>
  </si>
  <si>
    <t>&lt; 1%</t>
  </si>
  <si>
    <t>Difficult to estimate.  No disk servers were out in Echo, but an increasing number are having problems in Castor.</t>
  </si>
  <si>
    <t>7.3.1</t>
  </si>
  <si>
    <t xml:space="preserve">Damaged tapes/month, leading to data loss </t>
  </si>
  <si>
    <t>Tim Folkes</t>
  </si>
  <si>
    <t>6 ATLAS files lost</t>
  </si>
  <si>
    <t>5.1.2</t>
  </si>
  <si>
    <t>CASTOR SAM tests: ATLAS VO</t>
  </si>
  <si>
    <t>Metric calculation changed in 12Q1 Now harder</t>
  </si>
  <si>
    <t>Rob Appleyard</t>
  </si>
  <si>
    <t>&gt;99%</t>
  </si>
  <si>
    <t>There were several spells of poor test results for Talas. The first (early Feb) coincided with a tape recall exercise and tests time out. There were then two further spells of test failures (late Feb, early March). We identified that the Atlas Test was not specifying a space token on write and then (depending on what else was going on) the file was not found in later stages of the SRM test.</t>
  </si>
  <si>
    <t>There was a problem around to 30th April/1st May when one of the Atlas disks filled up and we failed tests consistently. There were also intermittent test failures before the Castor Atlas 2.1.16 upgrade which was done on the 25th May.</t>
  </si>
  <si>
    <t>In first part of quarter there were problems that appeared in the SRMs that were thought to be due to Castor performance issues. The merging of the small AtlasScratchDisk pool into a larger disk pool alleviated these. (See Narrative).</t>
  </si>
  <si>
    <t>Problem with Atlas Castor instance in January. There was a high rate of deletion requests. The back end stager database struggled to keep up with the total load. Found one of the tables in the Atlas stager Castor database was badly fragmented. During an overnight outage this table and the associated indexes was rebuilt and preformance restored.</t>
  </si>
  <si>
    <t>5.1.1</t>
  </si>
  <si>
    <t>CASTOR SAM tests: ALICE VO</t>
  </si>
  <si>
    <t>Missing ALICE-specific xroot component after Castor 2.1.15 upgrade led to several days of test failure (inlcuing a weekend).</t>
  </si>
  <si>
    <t>1.2.10</t>
  </si>
  <si>
    <t>5.1.3</t>
  </si>
  <si>
    <t>CASTOR SAM tests: CMS VO</t>
  </si>
  <si>
    <t>There have been sporadic failures of the CMS SAM tests against the SRMs (timeouts) throught this period. Effort was directed at Castor upgrades (SRM and then Castor itself to improve this).</t>
  </si>
  <si>
    <t>During this period we had a high level of failure of the CMS SRM SAM tests with timeout errors. There was also some specific test failures on top of this: 
9/10/11th April - Problems with CMS Castor (transfermanager); 
3rd May: glexec problem;  
14/15 May - problems writing into Castor CMS. 
24/25 June - test ailing with CMSDisk full.</t>
  </si>
  <si>
    <t>At the start of the quarter there was a high rate of SRM tests failures (timeouts) but in the middle of the quarter this improved - although we do not know why. (See narrative). The September figure was brought down by CMSDisk becoming full causing a very high rate of SRM test failures for a couple fo days.</t>
  </si>
  <si>
    <t>Availability brought down by CMSDisk in Castor becoming full over the 5/6 October.</t>
  </si>
  <si>
    <t>1.2.11</t>
  </si>
  <si>
    <t>5.1.4</t>
  </si>
  <si>
    <t>CASTOR SAM tests: LHCb VO</t>
  </si>
  <si>
    <t>Sporadic SRM test failures through the quarter. Some specific problems with the SRM led to more test failures on one or two days.</t>
  </si>
  <si>
    <t>Test failures dominated by problems in first part of quarter The causes are as detailed in the narrative section. (These led to the reversion of a previous SRM update and a problem with TURLs returned after the Castor upgrade.)</t>
  </si>
  <si>
    <t>Figure dominated by September availability at 88%. Problem with two disk servers added into Castor gave problems for SAM tests although LHCb did did not report problems. Also noted in Narrative section.</t>
  </si>
  <si>
    <t>1.2.12</t>
  </si>
  <si>
    <t>7.3.4</t>
  </si>
  <si>
    <t xml:space="preserve"> Reliability of tape robot 99 %</t>
  </si>
  <si>
    <t>1.3.1</t>
  </si>
  <si>
    <t>WLCG Service Availability Target (set lower by WLCG than MoU, taken from OPS availability) 97 %</t>
  </si>
  <si>
    <t>99%%</t>
  </si>
  <si>
    <t>The OPS tests were failing in May and June because of the problems with the Castor Information Provider ("CIP")</t>
  </si>
  <si>
    <t>1.3.2</t>
  </si>
  <si>
    <t>WLCG Service Availability for Alice 97 %</t>
  </si>
  <si>
    <t>See comment for metric 1.2.9.</t>
  </si>
  <si>
    <t>1.3.3</t>
  </si>
  <si>
    <t>WLCG Service Availability for ATLAS 97 %</t>
  </si>
  <si>
    <t>See comment for metric 1.2.8.</t>
  </si>
  <si>
    <t>1.3.4</t>
  </si>
  <si>
    <t>1.2.13</t>
  </si>
  <si>
    <t>WLCG Service Availability for CMS 97 %</t>
  </si>
  <si>
    <t>See comment for metric 1.2.10 above. Plus in March CMS CE tests suffered from aa problem with argus plus another when a Hyperviosor failed affecting a number of virtual machines. This in turn affected CMS CE tests.</t>
  </si>
  <si>
    <t>See comment for metric 1.2.10</t>
  </si>
  <si>
    <t>1.3.5</t>
  </si>
  <si>
    <t>1.2.14</t>
  </si>
  <si>
    <t>WLCG Service Availability for LHCB 97 %</t>
  </si>
  <si>
    <t>See comment for metric 1.2.11.</t>
  </si>
  <si>
    <t>See comment for metric 1.2.11</t>
  </si>
  <si>
    <t>1.3.6</t>
  </si>
  <si>
    <t>1.2.4 &amp; 1.2.5</t>
  </si>
  <si>
    <t xml:space="preserve">Respond to pager within 2 hours  95 %  </t>
  </si>
  <si>
    <t>1.3.7</t>
  </si>
  <si>
    <t>4.1.2</t>
  </si>
  <si>
    <t xml:space="preserve">Number of GGUS Tickets not responded to within two hours .  </t>
  </si>
  <si>
    <t>3 per month</t>
  </si>
  <si>
    <t>1.3.8</t>
  </si>
  <si>
    <t>1.6.4</t>
  </si>
  <si>
    <t>Job Efficiency (CPU/Wall) 70 %</t>
  </si>
  <si>
    <t>&gt; 70%</t>
  </si>
  <si>
    <t>1.3.9</t>
  </si>
  <si>
    <t>1.6.5</t>
  </si>
  <si>
    <t>Farm Occupancy 70 %</t>
  </si>
  <si>
    <t>&gt;70%</t>
  </si>
  <si>
    <t>We are not convinced this value is valid for Q419</t>
  </si>
  <si>
    <t>1.3.10</t>
  </si>
  <si>
    <t>1.6.6</t>
  </si>
  <si>
    <t>Percentage of available T1 Disk 1 used in quarter 20 %</t>
  </si>
  <si>
    <t>N/A</t>
  </si>
  <si>
    <t>1.3.11</t>
  </si>
  <si>
    <t>7.3.5</t>
  </si>
  <si>
    <t>Used tape capacity (TB)</t>
  </si>
  <si>
    <t>NGI</t>
  </si>
  <si>
    <t>3.4.1</t>
  </si>
  <si>
    <t>UK CPU and storage delivered to EGI</t>
  </si>
  <si>
    <t>Ian Collier</t>
  </si>
  <si>
    <t>3.4.2</t>
  </si>
  <si>
    <t>Monthly timesheets complete by 10th of each month</t>
  </si>
  <si>
    <t>3.4.3</t>
  </si>
  <si>
    <t>GridPP staff PM delivered as required</t>
  </si>
  <si>
    <t>3.4.4</t>
  </si>
  <si>
    <t>GOCDB Availability</t>
  </si>
  <si>
    <t xml:space="preserve">Waiting on EGI to publish their stats. A quick look at Nagios over the quarter shows no availability issues. </t>
  </si>
  <si>
    <t xml:space="preserve">Source: http://argo.egi.eu/lavoisier/opsmon_reports?accept=html </t>
  </si>
  <si>
    <t>3.4.5</t>
  </si>
  <si>
    <t>APEL Availability</t>
  </si>
  <si>
    <t>Adrian Coveney</t>
  </si>
  <si>
    <t>Complete</t>
  </si>
  <si>
    <t>Proposed to be Rescheduled</t>
  </si>
  <si>
    <t>Overdue</t>
  </si>
  <si>
    <t>Likely to be late</t>
  </si>
  <si>
    <t>Not yet due</t>
  </si>
  <si>
    <t>Proposed Milestone change</t>
  </si>
  <si>
    <t>Query</t>
  </si>
  <si>
    <t>Based on Milestones 1.3d-2</t>
  </si>
  <si>
    <t>Milestone no.</t>
  </si>
  <si>
    <t>Due date</t>
  </si>
  <si>
    <t>Date complete</t>
  </si>
  <si>
    <t>Evidence</t>
  </si>
  <si>
    <t>Comment</t>
  </si>
  <si>
    <t>1.4.1</t>
  </si>
  <si>
    <t>Produce the purchasing plan</t>
  </si>
  <si>
    <t>A purchasing plan swas produced but changes in the amount of money available require the plan to be re-visited.</t>
  </si>
  <si>
    <t>1.4.2</t>
  </si>
  <si>
    <t>FY16 Capacity order placed</t>
  </si>
  <si>
    <t>Order for CPU &amp; disk storage received by vendor mid-Feb.</t>
  </si>
  <si>
    <t>1.4.3</t>
  </si>
  <si>
    <t>FY16 Purchase in production</t>
  </si>
  <si>
    <t>CPU in use. Storage in Echo</t>
  </si>
  <si>
    <t>1.4.4</t>
  </si>
  <si>
    <t>Tier-1 WLCG MoU commitments met</t>
  </si>
  <si>
    <t>Alastair Dewhurst</t>
  </si>
  <si>
    <t>As shown in metrics.</t>
  </si>
  <si>
    <t>1.4.5</t>
  </si>
  <si>
    <t xml:space="preserve">Planning completed so that tenders could be issued. </t>
  </si>
  <si>
    <t>1.4.6</t>
  </si>
  <si>
    <t>FY17 Capacity order placed</t>
  </si>
  <si>
    <t>Tenders issued at end of November. Orders placed January 2018. - technically outside this quarter - but it is now done.</t>
  </si>
  <si>
    <t>1.4.7</t>
  </si>
  <si>
    <t>FY17 Purchase in production</t>
  </si>
  <si>
    <t>50% of CPU in production by June.  XMA CPU and all storage still behind.</t>
  </si>
  <si>
    <t>1.4.8</t>
  </si>
  <si>
    <t>Waiting on CPU delivery, storage is being ramped up slowly.</t>
  </si>
  <si>
    <t>1.4.9</t>
  </si>
  <si>
    <t>Unclear finance situation, new hardware is not in production, so hard to make predictions about what we will need.</t>
  </si>
  <si>
    <t>1.4.10</t>
  </si>
  <si>
    <t>FY18 Capacity order placed</t>
  </si>
  <si>
    <t>Disk Tender runs until 7th December.  CPU direct award placed in December.</t>
  </si>
  <si>
    <t>1.4.11</t>
  </si>
  <si>
    <t>FY18 Purchase in production</t>
  </si>
  <si>
    <t>CPU in production in March.  Disk is ready for deployment although it will be phased in slowly as we have plenty of spare capacity currently.</t>
  </si>
  <si>
    <t>1.4.12</t>
  </si>
  <si>
    <t>Plenty of spare capacity in Echo (even before 18 generation was added). LHCb migrated to Echo in March.  ALICE still using Castor.</t>
  </si>
  <si>
    <t>1.4.13</t>
  </si>
  <si>
    <t>Initial plan circulated 4th June 2019.</t>
  </si>
  <si>
    <t>1.4.14</t>
  </si>
  <si>
    <t>FY19 Capacity order placed</t>
  </si>
  <si>
    <t>Disk and CPU tenders ended on 25th October.  Orders placed in November fro delivery in Janaury 2020.</t>
  </si>
  <si>
    <t>1.4.15</t>
  </si>
  <si>
    <t>FY19 Purchase in production</t>
  </si>
  <si>
    <t>1.4.16</t>
  </si>
  <si>
    <t>Effort (FTE)</t>
  </si>
  <si>
    <t>GridPP Funded</t>
  </si>
  <si>
    <t>Unfunded</t>
  </si>
  <si>
    <t>Site</t>
  </si>
  <si>
    <t>Work area</t>
  </si>
  <si>
    <t>GRIDPP Funded Name(s)</t>
  </si>
  <si>
    <t>Month 1</t>
  </si>
  <si>
    <t>Month 2</t>
  </si>
  <si>
    <t>Month 3</t>
  </si>
  <si>
    <t>Fabric</t>
  </si>
  <si>
    <t>Bly, Folkes, Hafeez, Harper,  Summers, Lisseev, Hancock, Furnell</t>
  </si>
  <si>
    <t>Grid</t>
  </si>
  <si>
    <t>Caballero, Adams, Collier</t>
  </si>
  <si>
    <t>CASTOR/Tape/CEPH</t>
  </si>
  <si>
    <t>Appleyard, Johnson, Patargias, McComb, Byrne</t>
  </si>
  <si>
    <t>Database</t>
  </si>
  <si>
    <t>Lopez, Packer, Contractor</t>
  </si>
  <si>
    <t>Management</t>
  </si>
  <si>
    <t>Dewhurst</t>
  </si>
  <si>
    <t>Production</t>
  </si>
  <si>
    <t>Moore, Davies</t>
  </si>
  <si>
    <t>Total</t>
  </si>
  <si>
    <t>APEL, GOCDB</t>
  </si>
  <si>
    <t>Coveney, Corbett, Ryall, Nielson</t>
  </si>
  <si>
    <t>Machine room operations are now fully funded by SCD in GridPP5</t>
  </si>
  <si>
    <t>Site networking is not funded by either SCD or GridPP in GridPP5</t>
  </si>
  <si>
    <t>Progress over last Quarter</t>
  </si>
  <si>
    <t>Successes</t>
  </si>
  <si>
    <t>Problems/Issues</t>
  </si>
  <si>
    <t>General</t>
  </si>
  <si>
    <t>Tier-1  is currently running " business as usual".   No major outages/issues during this period.  This has been helped in part by the fact the LHC are not collecting data but this should not distract from the fact RAL Tier-1 is running as it should do.</t>
  </si>
  <si>
    <t>CPU</t>
  </si>
  <si>
    <t>Disk</t>
  </si>
  <si>
    <t>CASTOR</t>
  </si>
  <si>
    <t>ALICE has been successfully migrated to Echo</t>
  </si>
  <si>
    <t>ECHO</t>
  </si>
  <si>
    <t>Grid Deployment</t>
  </si>
  <si>
    <t xml:space="preserve">
</t>
  </si>
  <si>
    <t>Core Services</t>
  </si>
  <si>
    <t>Production Team</t>
  </si>
  <si>
    <t>Network</t>
  </si>
  <si>
    <t>Major network outage - Friday 13th October impacted Tier-1 services</t>
  </si>
  <si>
    <t>Network outage resolved after discovery of faulty router managed by JANET.</t>
  </si>
  <si>
    <t>Machine Room Operations</t>
  </si>
  <si>
    <t>Database team</t>
  </si>
  <si>
    <t>APEL</t>
  </si>
  <si>
    <t>No major problems encountered. Service ran smoothly during this period. Response time for GGUS tickets within OLA.</t>
  </si>
  <si>
    <t>GOCDB</t>
  </si>
  <si>
    <t>Note:To get multiple lines per box use Alt-Return</t>
  </si>
  <si>
    <t>General Risks</t>
  </si>
  <si>
    <t>Risk</t>
  </si>
  <si>
    <t>Mitigating Action</t>
  </si>
  <si>
    <t>The GridPP5 proposal requires the Tier1 to transition to supplying a more diverse community and that economies (in this context as seen by GridPP) can be found by providing a shared resource.This may prove to be impossible or require more effort than available.</t>
  </si>
  <si>
    <t>Close engagement with UKT0 project.</t>
  </si>
  <si>
    <t>Insitute or area specific risks</t>
  </si>
  <si>
    <t>CERN will stop support for Castor.</t>
  </si>
  <si>
    <t>CERN have announces a replacement for Castor (for tape). An evaluation of the best way forward for future tape storage is being made.</t>
  </si>
  <si>
    <t>CEPH ECHO will not deliver storage reliably or be able to deliver the necessary access bandwidth.</t>
  </si>
  <si>
    <t>Tight management of the ECHO project is carefuly monitoring progress. There has been one notable data loss incident. However, experience so far corroborates that expected from the risk register. Atlas and CMS have now switched to using Echo and it is delivering sufficient bandwidth. Any bandwidth limitations are in the gateways and here we are providing gateways on each of our worker nodes as well as the general usage ones. This risk is diminishing as operational experience builds.</t>
  </si>
  <si>
    <t>Oracle withdraw support for existing Tape infrastructure.</t>
  </si>
  <si>
    <t>No indication from Oracle that existing tape infrastructure will end of life. Maintain close links with Oracle in order to identify any future issues.</t>
  </si>
  <si>
    <t>GridPP5 Staffing plan requires Tier-1 to reduce staff effort to 14.5 FTE in FY18. Potential impact on Tier-1 operation.</t>
  </si>
  <si>
    <t xml:space="preserve">Attempt to maintain average staff level closer to 100%. Identify further mitigations to improve STFC recruitment and retention. Seek financial reprofile of FY17 underspend. Cut costs where feasible through terminating services and reducing costs. </t>
  </si>
  <si>
    <t xml:space="preserve">Staffing recruitment and retention remains very problematic. </t>
  </si>
  <si>
    <t>Recruitment and retention is considered a significant risk to STFC. A number of initiatives are underway in order to mitigate this. It would be possible to further mitigate against this risk if the Tier1 were able to recruit staff above agreed average staffing level. Recent departures, coupled with difficulties recruiting make this risk more acute.</t>
  </si>
  <si>
    <t>Objectives and Deliverables for Last Quarter</t>
  </si>
  <si>
    <t>Objective/Deliverable</t>
  </si>
  <si>
    <t>Due Date</t>
  </si>
  <si>
    <t>Metric/Output</t>
  </si>
  <si>
    <t>1.4.11 FY18 Purchases in production</t>
  </si>
  <si>
    <t>Apr '19</t>
  </si>
  <si>
    <t>Objectives and Deliverables for Next Quarter</t>
  </si>
  <si>
    <t>Summary of Comments</t>
  </si>
  <si>
    <t>1.4.12 Tier-1 WLCG MoU commitments met</t>
  </si>
  <si>
    <t>May '19</t>
  </si>
  <si>
    <t>1.4.13 Produce the purchasing plan</t>
  </si>
  <si>
    <t>June '19</t>
  </si>
  <si>
    <t>Objectives and Deliverables needing Rescheduling</t>
  </si>
  <si>
    <t>Old Due Date</t>
  </si>
  <si>
    <t>New Due Date</t>
  </si>
  <si>
    <t>Reason</t>
  </si>
  <si>
    <t xml:space="preserve">New Objectives and Deliverables </t>
  </si>
  <si>
    <t>EVAL Notes</t>
  </si>
  <si>
    <t>Publications</t>
  </si>
  <si>
    <t xml:space="preserve"> Date</t>
  </si>
  <si>
    <t>Notes</t>
  </si>
  <si>
    <t>Collaborations</t>
  </si>
  <si>
    <t>Further Funding (eg external grants)</t>
  </si>
  <si>
    <t>Destination of ex staff and recruitment issues</t>
  </si>
  <si>
    <t>Dissemmination events</t>
  </si>
  <si>
    <t>Intellectual Property</t>
  </si>
  <si>
    <t>Spin out companies</t>
  </si>
  <si>
    <t>Roles held on committees and boards</t>
  </si>
  <si>
    <t>Other outputs and Knowledge</t>
  </si>
  <si>
    <t>David Crook</t>
  </si>
  <si>
    <t xml:space="preserve">With regards remote working at end of Q1 2020  this has proved Tier-1 as resiliant and adaptable.  Tier-1  is currently running " business as usual".   No major outages/issues during this period.    </t>
  </si>
  <si>
    <t xml:space="preserve">As part of business continuity Tier-1 ran Operation "Home Guard".  A two day exercise whereby  Tier-1 adopted a remote working posture to ensure the technically feasibility of Tier-1 to operate successfully whilst geographcally distributed.  The findings and results of this exercise were implement again "for real" at the end of March 2020.
</t>
  </si>
  <si>
    <t xml:space="preserve"> </t>
  </si>
  <si>
    <t>Keeping in line with government guide lines regards  COVID-19 the Tier-1 is now working in a remote configuaration.</t>
  </si>
  <si>
    <t>Disk delivered in January.  CPU delivered in February and entered production in March.</t>
  </si>
  <si>
    <t>Very little change in MoU commitments during long shutdown.  Additional disk had been provided to VOs last year.  CPU was installed in March.</t>
  </si>
  <si>
    <t>Lopez,  Hafeez, Packer, Contractor</t>
  </si>
  <si>
    <t>Bly, Folkes, Harper,  Summers, Lisseev, Hancock</t>
  </si>
  <si>
    <t>&lt; 70%</t>
  </si>
  <si>
    <t>Not clear if the monitoring is accurate.  Job efficiency has been poor for numerous reasons.  Problems for ALICE when starting to use Echo.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</si>
</sst>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1" x14ac:knownFonts="1">
    <font>
      <sz val="10"/>
      <name val="Arial"/>
      <charset val="1"/>
    </font>
    <font>
      <b/>
      <sz val="10"/>
      <name val="Arial"/>
      <family val="2"/>
      <charset val="1"/>
    </font>
    <font>
      <sz val="10"/>
      <name val="Arial"/>
      <family val="2"/>
      <charset val="1"/>
    </font>
    <font>
      <i/>
      <sz val="10"/>
      <name val="Arial"/>
      <family val="2"/>
      <charset val="1"/>
    </font>
    <font>
      <sz val="12"/>
      <name val="Arial"/>
      <family val="2"/>
      <charset val="1"/>
    </font>
    <font>
      <b/>
      <sz val="12"/>
      <name val="Arial"/>
      <family val="2"/>
      <charset val="1"/>
    </font>
    <font>
      <sz val="9"/>
      <color rgb="FF000000"/>
      <name val="Tahoma"/>
      <family val="2"/>
      <charset val="1"/>
    </font>
    <font>
      <sz val="10"/>
      <color rgb="FF000000"/>
      <name val="Arial"/>
      <charset val="1"/>
    </font>
    <font>
      <sz val="10"/>
      <color rgb="FFFF0000"/>
      <name val="Arial"/>
      <family val="2"/>
      <charset val="1"/>
    </font>
    <font>
      <sz val="10"/>
      <name val="Arial"/>
      <family val="2"/>
    </font>
    <font>
      <sz val="10"/>
      <color theme="1"/>
      <name val="Arial"/>
      <family val="2"/>
      <charset val="1"/>
    </font>
  </fonts>
  <fills count="21">
    <fill>
      <patternFill patternType="none"/>
    </fill>
    <fill>
      <patternFill patternType="gray125"/>
    </fill>
    <fill>
      <patternFill patternType="solid">
        <fgColor rgb="FF99CCFF"/>
        <bgColor rgb="FFCCCCFF"/>
      </patternFill>
    </fill>
    <fill>
      <patternFill patternType="solid">
        <fgColor rgb="FF1FB714"/>
        <bgColor rgb="FF00B050"/>
      </patternFill>
    </fill>
    <fill>
      <patternFill patternType="solid">
        <fgColor rgb="FFCCFFFF"/>
        <bgColor rgb="FFCCFFFF"/>
      </patternFill>
    </fill>
    <fill>
      <patternFill patternType="solid">
        <fgColor rgb="FFFF9900"/>
        <bgColor rgb="FFFFC000"/>
      </patternFill>
    </fill>
    <fill>
      <patternFill patternType="solid">
        <fgColor rgb="FFDD0806"/>
        <bgColor rgb="FFFF0000"/>
      </patternFill>
    </fill>
    <fill>
      <patternFill patternType="solid">
        <fgColor rgb="FFCD99FF"/>
        <bgColor rgb="FFCC99FF"/>
      </patternFill>
    </fill>
    <fill>
      <patternFill patternType="solid">
        <fgColor rgb="FF000000"/>
        <bgColor rgb="FF003300"/>
      </patternFill>
    </fill>
    <fill>
      <patternFill patternType="solid">
        <fgColor rgb="FF7030A0"/>
        <bgColor rgb="FF993366"/>
      </patternFill>
    </fill>
    <fill>
      <patternFill patternType="solid">
        <fgColor rgb="FF00B050"/>
        <bgColor rgb="FF1FB714"/>
      </patternFill>
    </fill>
    <fill>
      <patternFill patternType="solid">
        <fgColor rgb="FFFFC000"/>
        <bgColor rgb="FFFF9900"/>
      </patternFill>
    </fill>
    <fill>
      <patternFill patternType="solid">
        <fgColor rgb="FFFF0000"/>
        <bgColor rgb="FFDD0806"/>
      </patternFill>
    </fill>
    <fill>
      <patternFill patternType="solid">
        <fgColor rgb="FFFFFFFF"/>
        <bgColor rgb="FFFFFFCC"/>
      </patternFill>
    </fill>
    <fill>
      <patternFill patternType="solid">
        <fgColor rgb="FF00CCFF"/>
        <bgColor rgb="FF33CCCC"/>
      </patternFill>
    </fill>
    <fill>
      <patternFill patternType="solid">
        <fgColor rgb="FF0000D4"/>
        <bgColor rgb="FF0000FF"/>
      </patternFill>
    </fill>
    <fill>
      <patternFill patternType="solid">
        <fgColor rgb="FFCC99FF"/>
        <bgColor rgb="FFCD99FF"/>
      </patternFill>
    </fill>
    <fill>
      <patternFill patternType="solid">
        <fgColor rgb="FF00B050"/>
        <bgColor rgb="FFFF9900"/>
      </patternFill>
    </fill>
    <fill>
      <patternFill patternType="solid">
        <fgColor rgb="FF00B050"/>
        <bgColor rgb="FFDD0806"/>
      </patternFill>
    </fill>
    <fill>
      <patternFill patternType="solid">
        <fgColor rgb="FF00B050"/>
        <bgColor rgb="FFCCFFFF"/>
      </patternFill>
    </fill>
    <fill>
      <patternFill patternType="solid">
        <fgColor rgb="FF00B050"/>
        <bgColor indexed="64"/>
      </patternFill>
    </fill>
  </fills>
  <borders count="73">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style="medium">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ck">
        <color auto="1"/>
      </left>
      <right style="medium">
        <color auto="1"/>
      </right>
      <top style="thick">
        <color auto="1"/>
      </top>
      <bottom style="thin">
        <color auto="1"/>
      </bottom>
      <diagonal/>
    </border>
    <border>
      <left style="thin">
        <color auto="1"/>
      </left>
      <right style="medium">
        <color auto="1"/>
      </right>
      <top style="thick">
        <color auto="1"/>
      </top>
      <bottom style="thin">
        <color auto="1"/>
      </bottom>
      <diagonal/>
    </border>
    <border>
      <left style="thin">
        <color auto="1"/>
      </left>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medium">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top style="thin">
        <color auto="1"/>
      </top>
      <bottom/>
      <diagonal/>
    </border>
    <border>
      <left/>
      <right style="thick">
        <color auto="1"/>
      </right>
      <top/>
      <bottom/>
      <diagonal/>
    </border>
    <border>
      <left style="thick">
        <color auto="1"/>
      </left>
      <right style="medium">
        <color auto="1"/>
      </right>
      <top style="thin">
        <color auto="1"/>
      </top>
      <bottom style="thick">
        <color auto="1"/>
      </bottom>
      <diagonal/>
    </border>
    <border>
      <left style="thin">
        <color auto="1"/>
      </left>
      <right style="medium">
        <color auto="1"/>
      </right>
      <top style="thin">
        <color auto="1"/>
      </top>
      <bottom style="thick">
        <color auto="1"/>
      </bottom>
      <diagonal/>
    </border>
    <border>
      <left style="thin">
        <color auto="1"/>
      </left>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top/>
      <bottom style="medium">
        <color auto="1"/>
      </bottom>
      <diagonal/>
    </border>
    <border>
      <left/>
      <right style="thin">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s>
  <cellStyleXfs count="2">
    <xf numFmtId="0" fontId="0" fillId="0" borderId="0"/>
    <xf numFmtId="0" fontId="2" fillId="0" borderId="0"/>
  </cellStyleXfs>
  <cellXfs count="280">
    <xf numFmtId="0" fontId="0" fillId="0" borderId="0" xfId="0"/>
    <xf numFmtId="0" fontId="0" fillId="0" borderId="0" xfId="0" applyAlignment="1">
      <alignment wrapText="1"/>
    </xf>
    <xf numFmtId="0" fontId="1" fillId="2" borderId="1" xfId="0" applyFont="1" applyFill="1" applyBorder="1"/>
    <xf numFmtId="0" fontId="0" fillId="2" borderId="2" xfId="0" applyFill="1" applyBorder="1"/>
    <xf numFmtId="0" fontId="0" fillId="0" borderId="0" xfId="0" applyBorder="1"/>
    <xf numFmtId="0" fontId="0" fillId="3" borderId="3" xfId="0" applyFill="1" applyBorder="1"/>
    <xf numFmtId="0" fontId="0" fillId="0" borderId="4" xfId="0" applyFont="1" applyBorder="1" applyAlignment="1">
      <alignment wrapText="1"/>
    </xf>
    <xf numFmtId="0" fontId="0" fillId="0" borderId="0" xfId="0" applyBorder="1" applyAlignment="1">
      <alignment wrapText="1"/>
    </xf>
    <xf numFmtId="0" fontId="1" fillId="4" borderId="5" xfId="0" applyFont="1" applyFill="1" applyBorder="1"/>
    <xf numFmtId="0" fontId="0" fillId="0" borderId="6" xfId="0" applyFont="1" applyBorder="1"/>
    <xf numFmtId="0" fontId="2" fillId="5" borderId="7" xfId="0" applyFont="1" applyFill="1" applyBorder="1"/>
    <xf numFmtId="0" fontId="0" fillId="0" borderId="8" xfId="0" applyFont="1" applyBorder="1" applyAlignment="1">
      <alignment wrapText="1"/>
    </xf>
    <xf numFmtId="0" fontId="2" fillId="0" borderId="6" xfId="0" applyFont="1" applyBorder="1"/>
    <xf numFmtId="0" fontId="0" fillId="6" borderId="9" xfId="0" applyFill="1" applyBorder="1"/>
    <xf numFmtId="0" fontId="2" fillId="0" borderId="0" xfId="0" applyFont="1" applyBorder="1" applyAlignment="1">
      <alignment horizontal="left" vertical="top" wrapText="1"/>
    </xf>
    <xf numFmtId="0" fontId="1" fillId="4" borderId="10" xfId="0" applyFont="1" applyFill="1" applyBorder="1"/>
    <xf numFmtId="0" fontId="0" fillId="0" borderId="11" xfId="0" applyFont="1" applyBorder="1"/>
    <xf numFmtId="0" fontId="0" fillId="7" borderId="9" xfId="0" applyFill="1" applyBorder="1"/>
    <xf numFmtId="0" fontId="1" fillId="0" borderId="0" xfId="0" applyFont="1" applyBorder="1"/>
    <xf numFmtId="0" fontId="0" fillId="8" borderId="12" xfId="0" applyFill="1" applyBorder="1"/>
    <xf numFmtId="0" fontId="0" fillId="0" borderId="13" xfId="0" applyFont="1" applyBorder="1" applyAlignment="1">
      <alignment wrapText="1"/>
    </xf>
    <xf numFmtId="0" fontId="1" fillId="2" borderId="14" xfId="0" applyFont="1" applyFill="1" applyBorder="1"/>
    <xf numFmtId="0" fontId="1" fillId="2" borderId="15" xfId="0" applyFont="1" applyFill="1" applyBorder="1"/>
    <xf numFmtId="0" fontId="1" fillId="2" borderId="4" xfId="0" applyFont="1" applyFill="1" applyBorder="1"/>
    <xf numFmtId="0" fontId="1" fillId="2" borderId="14" xfId="0" applyFont="1" applyFill="1" applyBorder="1" applyAlignment="1">
      <alignment wrapText="1"/>
    </xf>
    <xf numFmtId="164" fontId="1" fillId="4" borderId="9" xfId="0" applyNumberFormat="1" applyFont="1" applyFill="1" applyBorder="1" applyAlignment="1">
      <alignment wrapText="1"/>
    </xf>
    <xf numFmtId="0" fontId="1" fillId="2" borderId="2" xfId="0" applyFont="1" applyFill="1" applyBorder="1" applyAlignment="1">
      <alignment wrapText="1"/>
    </xf>
    <xf numFmtId="0" fontId="0" fillId="9" borderId="16" xfId="0" applyFill="1" applyBorder="1"/>
    <xf numFmtId="0" fontId="2" fillId="0" borderId="16" xfId="0" applyFont="1" applyBorder="1" applyAlignment="1">
      <alignment horizontal="left" vertical="top" wrapText="1"/>
    </xf>
    <xf numFmtId="9" fontId="2" fillId="0" borderId="17" xfId="0" applyNumberFormat="1" applyFont="1" applyBorder="1" applyAlignment="1">
      <alignment horizontal="left" vertical="top" wrapText="1"/>
    </xf>
    <xf numFmtId="0" fontId="0" fillId="0" borderId="18" xfId="0" applyBorder="1" applyAlignment="1">
      <alignment wrapText="1"/>
    </xf>
    <xf numFmtId="0" fontId="2" fillId="0" borderId="18" xfId="0" applyFont="1" applyBorder="1" applyAlignment="1">
      <alignment wrapText="1"/>
    </xf>
    <xf numFmtId="0" fontId="1" fillId="2" borderId="6" xfId="0" applyFont="1" applyFill="1" applyBorder="1" applyAlignment="1">
      <alignment wrapText="1"/>
    </xf>
    <xf numFmtId="1" fontId="2" fillId="0" borderId="17" xfId="0" applyNumberFormat="1" applyFont="1" applyBorder="1" applyAlignment="1">
      <alignment horizontal="left" vertical="top" wrapText="1"/>
    </xf>
    <xf numFmtId="0" fontId="0" fillId="0" borderId="16" xfId="0" applyBorder="1"/>
    <xf numFmtId="0" fontId="0" fillId="0" borderId="18" xfId="0" applyFont="1" applyBorder="1" applyAlignment="1">
      <alignment wrapText="1"/>
    </xf>
    <xf numFmtId="0" fontId="1" fillId="4" borderId="20" xfId="0" applyFont="1" applyFill="1" applyBorder="1" applyAlignment="1">
      <alignment wrapText="1"/>
    </xf>
    <xf numFmtId="0" fontId="2" fillId="9" borderId="21" xfId="0" applyFont="1" applyFill="1" applyBorder="1" applyAlignment="1">
      <alignment wrapText="1"/>
    </xf>
    <xf numFmtId="0" fontId="2" fillId="0" borderId="21" xfId="0" applyFont="1" applyBorder="1" applyAlignment="1">
      <alignment horizontal="left" vertical="top" wrapText="1"/>
    </xf>
    <xf numFmtId="0" fontId="1" fillId="4" borderId="22" xfId="0" applyFont="1" applyFill="1" applyBorder="1" applyAlignment="1">
      <alignment wrapText="1"/>
    </xf>
    <xf numFmtId="0" fontId="2" fillId="13" borderId="16" xfId="0" applyFont="1" applyFill="1" applyBorder="1" applyAlignment="1">
      <alignment wrapText="1"/>
    </xf>
    <xf numFmtId="164" fontId="1" fillId="0" borderId="9" xfId="0" applyNumberFormat="1" applyFont="1" applyBorder="1" applyAlignment="1">
      <alignment wrapText="1"/>
    </xf>
    <xf numFmtId="0" fontId="1" fillId="0" borderId="22" xfId="0" applyFont="1" applyBorder="1" applyAlignment="1">
      <alignment wrapText="1"/>
    </xf>
    <xf numFmtId="0" fontId="0" fillId="0" borderId="23" xfId="0" applyBorder="1" applyAlignment="1">
      <alignment wrapText="1"/>
    </xf>
    <xf numFmtId="0" fontId="0" fillId="0" borderId="16" xfId="0" applyBorder="1" applyAlignment="1">
      <alignment wrapText="1"/>
    </xf>
    <xf numFmtId="9" fontId="2" fillId="0" borderId="24" xfId="0" applyNumberFormat="1" applyFont="1" applyBorder="1" applyAlignment="1">
      <alignment horizontal="left" vertical="top" wrapText="1"/>
    </xf>
    <xf numFmtId="0" fontId="1" fillId="4" borderId="26" xfId="0" applyFont="1" applyFill="1" applyBorder="1" applyAlignment="1">
      <alignment wrapText="1"/>
    </xf>
    <xf numFmtId="0" fontId="2" fillId="9" borderId="16" xfId="0" applyFont="1" applyFill="1" applyBorder="1" applyAlignment="1">
      <alignment wrapText="1"/>
    </xf>
    <xf numFmtId="0" fontId="2" fillId="0" borderId="16" xfId="0" applyFont="1" applyBorder="1" applyAlignment="1">
      <alignment vertical="top"/>
    </xf>
    <xf numFmtId="0" fontId="1" fillId="4" borderId="6" xfId="0" applyFont="1" applyFill="1" applyBorder="1" applyAlignment="1">
      <alignment wrapText="1"/>
    </xf>
    <xf numFmtId="0" fontId="0" fillId="9" borderId="16" xfId="0" applyFill="1" applyBorder="1" applyAlignment="1">
      <alignment wrapText="1"/>
    </xf>
    <xf numFmtId="0" fontId="0" fillId="0" borderId="18" xfId="0" applyFont="1" applyBorder="1" applyAlignment="1" applyProtection="1">
      <alignment horizontal="left" vertical="top" wrapText="1"/>
    </xf>
    <xf numFmtId="0" fontId="2" fillId="0" borderId="18" xfId="0" applyFont="1" applyBorder="1" applyAlignment="1">
      <alignment vertical="center"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 fillId="0" borderId="27" xfId="0" applyFont="1" applyBorder="1" applyAlignment="1">
      <alignment wrapText="1"/>
    </xf>
    <xf numFmtId="164" fontId="1" fillId="4" borderId="22" xfId="0" applyNumberFormat="1" applyFont="1" applyFill="1" applyBorder="1" applyAlignment="1">
      <alignment wrapText="1"/>
    </xf>
    <xf numFmtId="0" fontId="2" fillId="0" borderId="6" xfId="0" applyFont="1" applyBorder="1" applyAlignment="1">
      <alignment wrapText="1"/>
    </xf>
    <xf numFmtId="0" fontId="2" fillId="0" borderId="6" xfId="0" applyFont="1" applyBorder="1" applyAlignment="1">
      <alignment vertical="top" wrapText="1"/>
    </xf>
    <xf numFmtId="0" fontId="2" fillId="0" borderId="6" xfId="0" applyFont="1" applyBorder="1" applyAlignment="1">
      <alignment vertical="center" wrapText="1"/>
    </xf>
    <xf numFmtId="0" fontId="0" fillId="0" borderId="6" xfId="0" applyBorder="1" applyAlignment="1">
      <alignment wrapText="1"/>
    </xf>
    <xf numFmtId="164" fontId="1" fillId="0" borderId="28" xfId="0" applyNumberFormat="1" applyFont="1" applyBorder="1" applyAlignment="1">
      <alignment wrapText="1"/>
    </xf>
    <xf numFmtId="0" fontId="1" fillId="0" borderId="20" xfId="0" applyFont="1" applyBorder="1" applyAlignment="1">
      <alignment wrapText="1"/>
    </xf>
    <xf numFmtId="0" fontId="0" fillId="0" borderId="29" xfId="0" applyBorder="1" applyAlignment="1">
      <alignment wrapText="1"/>
    </xf>
    <xf numFmtId="0" fontId="0" fillId="0" borderId="21" xfId="0" applyBorder="1" applyAlignment="1">
      <alignment wrapText="1"/>
    </xf>
    <xf numFmtId="0" fontId="1" fillId="2" borderId="26" xfId="0" applyFont="1" applyFill="1" applyBorder="1" applyAlignment="1">
      <alignment wrapText="1"/>
    </xf>
    <xf numFmtId="0" fontId="1" fillId="2" borderId="11" xfId="0" applyFont="1" applyFill="1" applyBorder="1" applyAlignment="1">
      <alignment wrapText="1"/>
    </xf>
    <xf numFmtId="164" fontId="1" fillId="0" borderId="0" xfId="0" applyNumberFormat="1" applyFont="1" applyBorder="1" applyAlignment="1">
      <alignment wrapText="1"/>
    </xf>
    <xf numFmtId="0" fontId="0" fillId="4" borderId="30" xfId="0" applyFont="1" applyFill="1" applyBorder="1" applyAlignment="1">
      <alignment horizontal="justify" wrapText="1"/>
    </xf>
    <xf numFmtId="0" fontId="0" fillId="4" borderId="31" xfId="0" applyFill="1" applyBorder="1" applyAlignment="1">
      <alignment horizontal="justify" wrapText="1"/>
    </xf>
    <xf numFmtId="0" fontId="0" fillId="4" borderId="32" xfId="0" applyFont="1" applyFill="1" applyBorder="1" applyAlignment="1">
      <alignment horizontal="justify" wrapText="1"/>
    </xf>
    <xf numFmtId="0" fontId="0" fillId="0" borderId="33" xfId="0" applyBorder="1"/>
    <xf numFmtId="0" fontId="0" fillId="0" borderId="33" xfId="0" applyFont="1" applyBorder="1" applyAlignment="1">
      <alignment vertical="top"/>
    </xf>
    <xf numFmtId="0" fontId="0" fillId="0" borderId="33" xfId="0" applyBorder="1" applyAlignment="1">
      <alignment wrapText="1"/>
    </xf>
    <xf numFmtId="0" fontId="0" fillId="0" borderId="32" xfId="0" applyBorder="1" applyAlignment="1">
      <alignment wrapText="1"/>
    </xf>
    <xf numFmtId="0" fontId="2" fillId="0" borderId="34" xfId="0" applyFont="1" applyBorder="1" applyAlignment="1">
      <alignment wrapText="1"/>
    </xf>
    <xf numFmtId="0" fontId="0" fillId="4" borderId="35" xfId="0" applyFont="1" applyFill="1" applyBorder="1" applyAlignment="1">
      <alignment horizontal="justify" wrapText="1"/>
    </xf>
    <xf numFmtId="0" fontId="0" fillId="4" borderId="6" xfId="0" applyFill="1" applyBorder="1" applyAlignment="1">
      <alignment horizontal="justify" wrapText="1"/>
    </xf>
    <xf numFmtId="0" fontId="0" fillId="4" borderId="17" xfId="0" applyFont="1" applyFill="1" applyBorder="1" applyAlignment="1">
      <alignment horizontal="justify" wrapText="1"/>
    </xf>
    <xf numFmtId="0" fontId="0" fillId="0" borderId="16" xfId="0" applyFont="1" applyBorder="1" applyAlignment="1">
      <alignment vertical="top"/>
    </xf>
    <xf numFmtId="0" fontId="0" fillId="0" borderId="17" xfId="0" applyBorder="1" applyAlignment="1">
      <alignment wrapText="1"/>
    </xf>
    <xf numFmtId="0" fontId="0" fillId="0" borderId="36" xfId="0" applyBorder="1"/>
    <xf numFmtId="0" fontId="2" fillId="4" borderId="37" xfId="0" applyFont="1" applyFill="1" applyBorder="1" applyAlignment="1">
      <alignment horizontal="justify" wrapText="1"/>
    </xf>
    <xf numFmtId="0" fontId="2" fillId="0" borderId="36" xfId="0" applyFont="1" applyBorder="1" applyAlignment="1">
      <alignment wrapText="1"/>
    </xf>
    <xf numFmtId="0" fontId="0" fillId="4" borderId="35" xfId="0" applyFont="1" applyFill="1" applyBorder="1" applyAlignment="1">
      <alignment horizontal="justify" vertical="center" wrapText="1"/>
    </xf>
    <xf numFmtId="0" fontId="0" fillId="4" borderId="6" xfId="0" applyFill="1" applyBorder="1" applyAlignment="1">
      <alignment horizontal="justify" vertical="center" wrapText="1"/>
    </xf>
    <xf numFmtId="0" fontId="2" fillId="4" borderId="37" xfId="0" applyFont="1" applyFill="1" applyBorder="1" applyAlignment="1">
      <alignment horizontal="justify" vertical="center" wrapText="1"/>
    </xf>
    <xf numFmtId="0" fontId="0" fillId="0" borderId="16" xfId="0" applyBorder="1" applyAlignment="1">
      <alignment vertical="center"/>
    </xf>
    <xf numFmtId="0" fontId="0" fillId="0" borderId="16" xfId="0" applyFont="1" applyBorder="1" applyAlignment="1">
      <alignment vertical="center"/>
    </xf>
    <xf numFmtId="0" fontId="2" fillId="0" borderId="16" xfId="0" applyFont="1" applyBorder="1" applyAlignment="1">
      <alignment vertical="center"/>
    </xf>
    <xf numFmtId="0" fontId="0" fillId="0" borderId="16" xfId="0" applyBorder="1" applyAlignment="1">
      <alignment vertical="center" wrapText="1"/>
    </xf>
    <xf numFmtId="9" fontId="0" fillId="10" borderId="16" xfId="0" applyNumberFormat="1" applyFill="1" applyBorder="1" applyAlignment="1">
      <alignment vertical="center" wrapText="1"/>
    </xf>
    <xf numFmtId="0" fontId="2" fillId="0" borderId="38" xfId="0" applyFont="1" applyBorder="1" applyAlignment="1">
      <alignment vertical="center" wrapText="1"/>
    </xf>
    <xf numFmtId="0" fontId="0" fillId="0" borderId="0" xfId="0" applyAlignment="1">
      <alignment vertical="center"/>
    </xf>
    <xf numFmtId="0" fontId="0" fillId="4" borderId="39" xfId="0" applyFont="1" applyFill="1" applyBorder="1" applyAlignment="1">
      <alignment horizontal="justify" vertical="center" wrapText="1"/>
    </xf>
    <xf numFmtId="0" fontId="0" fillId="4" borderId="40" xfId="0" applyFill="1" applyBorder="1" applyAlignment="1">
      <alignment horizontal="justify" vertical="center" wrapText="1"/>
    </xf>
    <xf numFmtId="0" fontId="2" fillId="4" borderId="41" xfId="0" applyFont="1" applyFill="1" applyBorder="1" applyAlignment="1">
      <alignment horizontal="justify" vertical="center" wrapText="1"/>
    </xf>
    <xf numFmtId="0" fontId="0" fillId="0" borderId="42" xfId="0" applyBorder="1" applyAlignment="1">
      <alignment vertical="center"/>
    </xf>
    <xf numFmtId="0" fontId="0" fillId="0" borderId="42" xfId="0" applyFont="1" applyBorder="1" applyAlignment="1">
      <alignment vertical="center"/>
    </xf>
    <xf numFmtId="0" fontId="2" fillId="0" borderId="42" xfId="0" applyFont="1" applyBorder="1" applyAlignment="1">
      <alignment vertical="center"/>
    </xf>
    <xf numFmtId="0" fontId="2" fillId="0" borderId="43" xfId="0" applyFont="1" applyBorder="1" applyAlignment="1">
      <alignment vertical="center" wrapText="1"/>
    </xf>
    <xf numFmtId="0" fontId="1" fillId="2" borderId="44" xfId="0" applyFont="1" applyFill="1" applyBorder="1"/>
    <xf numFmtId="0" fontId="0" fillId="2" borderId="45" xfId="0" applyFill="1" applyBorder="1"/>
    <xf numFmtId="0" fontId="0" fillId="3" borderId="46" xfId="0" applyFill="1" applyBorder="1"/>
    <xf numFmtId="0" fontId="0" fillId="0" borderId="47" xfId="0" applyFont="1" applyBorder="1"/>
    <xf numFmtId="0" fontId="0" fillId="14" borderId="0" xfId="0" applyFill="1"/>
    <xf numFmtId="0" fontId="2" fillId="0" borderId="0" xfId="0" applyFont="1"/>
    <xf numFmtId="0" fontId="1" fillId="4" borderId="1" xfId="0" applyFont="1" applyFill="1" applyBorder="1"/>
    <xf numFmtId="0" fontId="0" fillId="0" borderId="2" xfId="0" applyBorder="1"/>
    <xf numFmtId="0" fontId="0" fillId="6" borderId="7" xfId="0" applyFill="1" applyBorder="1"/>
    <xf numFmtId="0" fontId="0" fillId="0" borderId="48" xfId="0" applyFont="1" applyBorder="1"/>
    <xf numFmtId="0" fontId="0" fillId="5" borderId="0" xfId="0" applyFill="1"/>
    <xf numFmtId="0" fontId="0" fillId="0" borderId="7" xfId="0" applyBorder="1"/>
    <xf numFmtId="0" fontId="0" fillId="15" borderId="0" xfId="0" applyFill="1"/>
    <xf numFmtId="0" fontId="0" fillId="0" borderId="49" xfId="0" applyFont="1" applyBorder="1"/>
    <xf numFmtId="0" fontId="0" fillId="16" borderId="0" xfId="0" applyFill="1"/>
    <xf numFmtId="0" fontId="1" fillId="4" borderId="0" xfId="0" applyFont="1" applyFill="1" applyBorder="1"/>
    <xf numFmtId="0" fontId="1" fillId="10" borderId="50" xfId="0" applyFont="1" applyFill="1" applyBorder="1" applyAlignment="1">
      <alignment horizontal="right"/>
    </xf>
    <xf numFmtId="0" fontId="0" fillId="10" borderId="6" xfId="0" applyFont="1" applyFill="1" applyBorder="1" applyAlignment="1">
      <alignment wrapText="1"/>
    </xf>
    <xf numFmtId="0" fontId="2" fillId="10" borderId="6" xfId="0" applyFont="1" applyFill="1" applyBorder="1" applyAlignment="1">
      <alignment wrapText="1"/>
    </xf>
    <xf numFmtId="17" fontId="2" fillId="10" borderId="16" xfId="0" applyNumberFormat="1" applyFont="1" applyFill="1" applyBorder="1"/>
    <xf numFmtId="0" fontId="2" fillId="10" borderId="6" xfId="0" applyFont="1" applyFill="1" applyBorder="1" applyAlignment="1">
      <alignment vertical="top" wrapText="1"/>
    </xf>
    <xf numFmtId="17" fontId="2" fillId="10" borderId="6" xfId="0" applyNumberFormat="1" applyFont="1" applyFill="1" applyBorder="1" applyAlignment="1">
      <alignment vertical="top" wrapText="1"/>
    </xf>
    <xf numFmtId="0" fontId="3" fillId="10" borderId="6" xfId="0" applyFont="1" applyFill="1" applyBorder="1" applyAlignment="1">
      <alignment vertical="top" wrapText="1"/>
    </xf>
    <xf numFmtId="15" fontId="2" fillId="10" borderId="6" xfId="0" applyNumberFormat="1" applyFont="1" applyFill="1" applyBorder="1" applyAlignment="1">
      <alignment vertical="top" wrapText="1"/>
    </xf>
    <xf numFmtId="0" fontId="4" fillId="0" borderId="0" xfId="0" applyFont="1"/>
    <xf numFmtId="0" fontId="5" fillId="0" borderId="44" xfId="0" applyFont="1" applyBorder="1"/>
    <xf numFmtId="0" fontId="5" fillId="0" borderId="45" xfId="0" applyFont="1" applyBorder="1"/>
    <xf numFmtId="0" fontId="5" fillId="0" borderId="50" xfId="0" applyFont="1" applyBorder="1"/>
    <xf numFmtId="0" fontId="4" fillId="0" borderId="26" xfId="0" applyFont="1" applyBorder="1"/>
    <xf numFmtId="0" fontId="5" fillId="0" borderId="5" xfId="0" applyFont="1" applyBorder="1"/>
    <xf numFmtId="0" fontId="5" fillId="0" borderId="10" xfId="0" applyFont="1" applyBorder="1"/>
    <xf numFmtId="0" fontId="4" fillId="0" borderId="11" xfId="0" applyFont="1" applyBorder="1"/>
    <xf numFmtId="0" fontId="5" fillId="0" borderId="0" xfId="0" applyFont="1"/>
    <xf numFmtId="0" fontId="5" fillId="0" borderId="51" xfId="0" applyFont="1" applyBorder="1" applyAlignment="1">
      <alignment wrapText="1"/>
    </xf>
    <xf numFmtId="0" fontId="5" fillId="0" borderId="52" xfId="0" applyFont="1" applyBorder="1" applyAlignment="1">
      <alignment wrapText="1"/>
    </xf>
    <xf numFmtId="0" fontId="5" fillId="0" borderId="15" xfId="0" applyFont="1" applyBorder="1" applyAlignment="1">
      <alignment wrapText="1"/>
    </xf>
    <xf numFmtId="0" fontId="5" fillId="0" borderId="4" xfId="0" applyFont="1" applyBorder="1" applyAlignment="1">
      <alignment wrapText="1"/>
    </xf>
    <xf numFmtId="0" fontId="5" fillId="0" borderId="46" xfId="0" applyFont="1" applyBorder="1" applyAlignment="1">
      <alignment wrapText="1"/>
    </xf>
    <xf numFmtId="0" fontId="5" fillId="0" borderId="53" xfId="0" applyFont="1" applyBorder="1" applyAlignment="1">
      <alignment horizontal="center" wrapText="1"/>
    </xf>
    <xf numFmtId="0" fontId="5" fillId="0" borderId="54" xfId="0" applyFont="1" applyBorder="1" applyAlignment="1">
      <alignment horizontal="center" wrapText="1"/>
    </xf>
    <xf numFmtId="0" fontId="5" fillId="0" borderId="47" xfId="0" applyFont="1" applyBorder="1" applyAlignment="1">
      <alignment horizontal="center" wrapText="1"/>
    </xf>
    <xf numFmtId="0" fontId="5" fillId="0" borderId="55" xfId="0" applyFont="1" applyBorder="1" applyAlignment="1">
      <alignment horizontal="center" wrapText="1"/>
    </xf>
    <xf numFmtId="0" fontId="5" fillId="0" borderId="56" xfId="0" applyFont="1" applyBorder="1" applyAlignment="1">
      <alignment horizontal="center" wrapText="1"/>
    </xf>
    <xf numFmtId="0" fontId="5" fillId="0" borderId="57" xfId="0" applyFont="1" applyBorder="1" applyAlignment="1">
      <alignment wrapText="1"/>
    </xf>
    <xf numFmtId="0" fontId="5" fillId="0" borderId="58" xfId="1" applyFont="1" applyBorder="1"/>
    <xf numFmtId="0" fontId="5" fillId="0" borderId="59" xfId="0" applyFont="1" applyBorder="1" applyAlignment="1">
      <alignment wrapText="1"/>
    </xf>
    <xf numFmtId="2" fontId="4" fillId="0" borderId="60" xfId="0" applyNumberFormat="1" applyFont="1" applyBorder="1" applyAlignment="1">
      <alignment wrapText="1"/>
    </xf>
    <xf numFmtId="2" fontId="4" fillId="0" borderId="61" xfId="0" applyNumberFormat="1" applyFont="1" applyBorder="1" applyAlignment="1">
      <alignment wrapText="1"/>
    </xf>
    <xf numFmtId="2" fontId="4" fillId="0" borderId="2" xfId="0" applyNumberFormat="1" applyFont="1" applyBorder="1" applyAlignment="1">
      <alignment wrapText="1"/>
    </xf>
    <xf numFmtId="2" fontId="0" fillId="0" borderId="0" xfId="0" applyNumberFormat="1"/>
    <xf numFmtId="0" fontId="5" fillId="0" borderId="22" xfId="0" applyFont="1" applyBorder="1" applyAlignment="1">
      <alignment wrapText="1"/>
    </xf>
    <xf numFmtId="0" fontId="5" fillId="0" borderId="18" xfId="1" applyFont="1" applyBorder="1"/>
    <xf numFmtId="0" fontId="5" fillId="0" borderId="62" xfId="0" applyFont="1" applyBorder="1" applyAlignment="1">
      <alignment wrapText="1"/>
    </xf>
    <xf numFmtId="2" fontId="4" fillId="0" borderId="29" xfId="0" applyNumberFormat="1" applyFont="1" applyBorder="1" applyAlignment="1">
      <alignment wrapText="1"/>
    </xf>
    <xf numFmtId="2" fontId="4" fillId="0" borderId="23" xfId="0" applyNumberFormat="1" applyFont="1" applyBorder="1" applyAlignment="1">
      <alignment wrapText="1"/>
    </xf>
    <xf numFmtId="0" fontId="2" fillId="0" borderId="0" xfId="0" applyFont="1" applyAlignment="1">
      <alignment wrapText="1"/>
    </xf>
    <xf numFmtId="2" fontId="4" fillId="0" borderId="16" xfId="0" applyNumberFormat="1" applyFont="1" applyBorder="1" applyAlignment="1">
      <alignment wrapText="1"/>
    </xf>
    <xf numFmtId="2" fontId="4" fillId="0" borderId="6" xfId="0" applyNumberFormat="1" applyFont="1" applyBorder="1" applyAlignment="1">
      <alignment wrapText="1"/>
    </xf>
    <xf numFmtId="0" fontId="2" fillId="0" borderId="0" xfId="0" applyFont="1" applyBorder="1"/>
    <xf numFmtId="2" fontId="4" fillId="0" borderId="63" xfId="0" applyNumberFormat="1" applyFont="1" applyBorder="1" applyAlignment="1">
      <alignment wrapText="1"/>
    </xf>
    <xf numFmtId="0" fontId="5" fillId="0" borderId="12" xfId="0" applyFont="1" applyBorder="1"/>
    <xf numFmtId="0" fontId="5" fillId="0" borderId="64" xfId="0" applyFont="1" applyBorder="1"/>
    <xf numFmtId="2" fontId="5" fillId="0" borderId="65" xfId="0" applyNumberFormat="1" applyFont="1" applyBorder="1"/>
    <xf numFmtId="2" fontId="5" fillId="0" borderId="44" xfId="0" applyNumberFormat="1" applyFont="1" applyBorder="1"/>
    <xf numFmtId="2" fontId="4" fillId="0" borderId="0" xfId="0" applyNumberFormat="1" applyFont="1"/>
    <xf numFmtId="0" fontId="5" fillId="0" borderId="58" xfId="0" applyFont="1" applyBorder="1" applyAlignment="1">
      <alignment wrapText="1"/>
    </xf>
    <xf numFmtId="2" fontId="4" fillId="13" borderId="60" xfId="0" applyNumberFormat="1" applyFont="1" applyFill="1" applyBorder="1" applyAlignment="1">
      <alignment wrapText="1"/>
    </xf>
    <xf numFmtId="0" fontId="5" fillId="0" borderId="49" xfId="0" applyFont="1" applyBorder="1"/>
    <xf numFmtId="0" fontId="4" fillId="0" borderId="0" xfId="1" applyFont="1"/>
    <xf numFmtId="0" fontId="1" fillId="4" borderId="50" xfId="0" applyFont="1" applyFill="1" applyBorder="1"/>
    <xf numFmtId="0" fontId="0" fillId="0" borderId="26" xfId="0" applyBorder="1"/>
    <xf numFmtId="0" fontId="1" fillId="0" borderId="0" xfId="0" applyFont="1"/>
    <xf numFmtId="0" fontId="1" fillId="2" borderId="46" xfId="0" applyFont="1" applyFill="1" applyBorder="1" applyAlignment="1">
      <alignment wrapText="1"/>
    </xf>
    <xf numFmtId="0" fontId="1" fillId="0" borderId="57" xfId="0" applyFont="1" applyBorder="1" applyAlignment="1">
      <alignment vertical="center" wrapText="1"/>
    </xf>
    <xf numFmtId="0" fontId="8" fillId="0" borderId="0" xfId="0" applyFont="1"/>
    <xf numFmtId="0" fontId="1" fillId="0" borderId="22" xfId="0" applyFont="1" applyBorder="1" applyAlignment="1">
      <alignment vertical="center" wrapText="1"/>
    </xf>
    <xf numFmtId="0" fontId="1" fillId="0" borderId="66" xfId="0" applyFont="1" applyBorder="1" applyAlignment="1">
      <alignment vertical="center" wrapText="1"/>
    </xf>
    <xf numFmtId="15" fontId="2" fillId="0" borderId="0" xfId="0" applyNumberFormat="1" applyFont="1" applyBorder="1" applyAlignment="1">
      <alignment horizontal="center" vertical="top" wrapText="1"/>
    </xf>
    <xf numFmtId="9" fontId="0" fillId="10" borderId="16" xfId="0" applyNumberFormat="1" applyFill="1" applyBorder="1" applyAlignment="1">
      <alignment horizontal="center" vertical="center" wrapText="1"/>
    </xf>
    <xf numFmtId="9" fontId="0" fillId="10" borderId="42" xfId="0" applyNumberFormat="1" applyFill="1" applyBorder="1" applyAlignment="1">
      <alignment horizontal="center" vertical="center" wrapText="1"/>
    </xf>
    <xf numFmtId="0" fontId="0" fillId="10" borderId="41" xfId="0" applyFill="1" applyBorder="1" applyAlignment="1">
      <alignment horizontal="center" vertical="center" wrapText="1"/>
    </xf>
    <xf numFmtId="9" fontId="0" fillId="10" borderId="41" xfId="0" applyNumberFormat="1" applyFill="1" applyBorder="1" applyAlignment="1">
      <alignment horizontal="center" vertical="center" wrapText="1"/>
    </xf>
    <xf numFmtId="9" fontId="2" fillId="10" borderId="16" xfId="0" applyNumberFormat="1" applyFont="1" applyFill="1" applyBorder="1" applyAlignment="1">
      <alignment horizontal="center" vertical="center" wrapText="1"/>
    </xf>
    <xf numFmtId="9" fontId="2" fillId="11" borderId="16" xfId="0" applyNumberFormat="1" applyFont="1" applyFill="1" applyBorder="1" applyAlignment="1">
      <alignment horizontal="center" vertical="center" wrapText="1"/>
    </xf>
    <xf numFmtId="9" fontId="2" fillId="12" borderId="16" xfId="0" applyNumberFormat="1" applyFont="1" applyFill="1" applyBorder="1" applyAlignment="1">
      <alignment horizontal="center" vertical="center" wrapText="1"/>
    </xf>
    <xf numFmtId="9" fontId="2" fillId="0" borderId="19" xfId="0" applyNumberFormat="1" applyFont="1" applyBorder="1" applyAlignment="1">
      <alignment horizontal="center" vertical="center" wrapText="1"/>
    </xf>
    <xf numFmtId="0" fontId="0" fillId="10" borderId="16" xfId="0" applyFill="1" applyBorder="1" applyAlignment="1">
      <alignment horizontal="center" vertical="center"/>
    </xf>
    <xf numFmtId="0" fontId="0" fillId="12" borderId="16" xfId="0" applyFill="1" applyBorder="1" applyAlignment="1">
      <alignment horizontal="center" vertical="center"/>
    </xf>
    <xf numFmtId="9" fontId="2" fillId="0" borderId="24" xfId="0" applyNumberFormat="1" applyFont="1" applyBorder="1" applyAlignment="1">
      <alignment horizontal="center" vertical="center" wrapText="1"/>
    </xf>
    <xf numFmtId="9" fontId="2" fillId="0" borderId="25" xfId="0" applyNumberFormat="1" applyFont="1" applyBorder="1" applyAlignment="1">
      <alignment horizontal="center" vertical="center" wrapText="1"/>
    </xf>
    <xf numFmtId="9" fontId="0" fillId="10" borderId="17" xfId="0" applyNumberFormat="1" applyFont="1" applyFill="1" applyBorder="1" applyAlignment="1">
      <alignment horizontal="center" vertical="center" wrapText="1"/>
    </xf>
    <xf numFmtId="9" fontId="0" fillId="10" borderId="16" xfId="0" applyNumberFormat="1" applyFont="1" applyFill="1" applyBorder="1" applyAlignment="1">
      <alignment horizontal="center" vertical="center" wrapText="1"/>
    </xf>
    <xf numFmtId="9" fontId="2" fillId="10" borderId="17" xfId="0" applyNumberFormat="1" applyFont="1" applyFill="1" applyBorder="1" applyAlignment="1">
      <alignment horizontal="center" vertical="center" wrapText="1"/>
    </xf>
    <xf numFmtId="2" fontId="2" fillId="10" borderId="17" xfId="0" applyNumberFormat="1" applyFont="1" applyFill="1" applyBorder="1" applyAlignment="1">
      <alignment horizontal="center" vertical="center" wrapText="1"/>
    </xf>
    <xf numFmtId="2" fontId="2" fillId="10" borderId="16" xfId="0" applyNumberFormat="1" applyFont="1" applyFill="1" applyBorder="1" applyAlignment="1">
      <alignment horizontal="center" vertical="center" wrapText="1"/>
    </xf>
    <xf numFmtId="10" fontId="2" fillId="10" borderId="17" xfId="0" applyNumberFormat="1" applyFont="1" applyFill="1" applyBorder="1" applyAlignment="1">
      <alignment horizontal="center" vertical="center" wrapText="1"/>
    </xf>
    <xf numFmtId="10" fontId="2" fillId="10" borderId="16" xfId="0" applyNumberFormat="1" applyFont="1" applyFill="1" applyBorder="1" applyAlignment="1">
      <alignment horizontal="center" vertical="center" wrapText="1"/>
    </xf>
    <xf numFmtId="165" fontId="2" fillId="12" borderId="17" xfId="0" applyNumberFormat="1" applyFont="1" applyFill="1" applyBorder="1" applyAlignment="1">
      <alignment horizontal="center" vertical="center" wrapText="1"/>
    </xf>
    <xf numFmtId="165" fontId="2" fillId="11" borderId="17" xfId="0" applyNumberFormat="1" applyFont="1" applyFill="1" applyBorder="1" applyAlignment="1">
      <alignment horizontal="center" vertical="center" wrapText="1"/>
    </xf>
    <xf numFmtId="165" fontId="2" fillId="10" borderId="17" xfId="0" applyNumberFormat="1" applyFont="1" applyFill="1" applyBorder="1" applyAlignment="1">
      <alignment horizontal="center" vertical="center" wrapText="1"/>
    </xf>
    <xf numFmtId="9" fontId="2" fillId="12" borderId="17" xfId="0" applyNumberFormat="1" applyFont="1" applyFill="1" applyBorder="1" applyAlignment="1">
      <alignment horizontal="center" vertical="center" wrapText="1"/>
    </xf>
    <xf numFmtId="9" fontId="2" fillId="11" borderId="17" xfId="0" applyNumberFormat="1" applyFont="1" applyFill="1" applyBorder="1" applyAlignment="1">
      <alignment horizontal="center" vertical="center" wrapText="1"/>
    </xf>
    <xf numFmtId="9" fontId="2" fillId="17" borderId="17" xfId="0" applyNumberFormat="1" applyFont="1" applyFill="1" applyBorder="1" applyAlignment="1">
      <alignment horizontal="center" vertical="center" wrapText="1"/>
    </xf>
    <xf numFmtId="10" fontId="0" fillId="10" borderId="17" xfId="0" applyNumberFormat="1" applyFill="1" applyBorder="1" applyAlignment="1">
      <alignment horizontal="center" vertical="center" wrapText="1"/>
    </xf>
    <xf numFmtId="10" fontId="0" fillId="11" borderId="17" xfId="0" applyNumberFormat="1" applyFill="1" applyBorder="1" applyAlignment="1">
      <alignment horizontal="center" vertical="center" wrapText="1"/>
    </xf>
    <xf numFmtId="10" fontId="0" fillId="12" borderId="17" xfId="0" applyNumberFormat="1" applyFill="1" applyBorder="1" applyAlignment="1">
      <alignment horizontal="center" vertical="center" wrapText="1"/>
    </xf>
    <xf numFmtId="10" fontId="0" fillId="18" borderId="17" xfId="0" applyNumberFormat="1" applyFill="1" applyBorder="1" applyAlignment="1">
      <alignment horizontal="center" vertical="center" wrapText="1"/>
    </xf>
    <xf numFmtId="0" fontId="0" fillId="10" borderId="17" xfId="0" applyFill="1" applyBorder="1" applyAlignment="1">
      <alignment horizontal="center" vertical="center" wrapText="1"/>
    </xf>
    <xf numFmtId="1" fontId="0" fillId="10" borderId="17" xfId="0" applyNumberFormat="1" applyFill="1" applyBorder="1" applyAlignment="1">
      <alignment horizontal="center" vertical="center" wrapText="1"/>
    </xf>
    <xf numFmtId="10" fontId="9" fillId="10" borderId="17" xfId="0" applyNumberFormat="1" applyFont="1" applyFill="1" applyBorder="1" applyAlignment="1">
      <alignment horizontal="center" vertical="center" wrapText="1"/>
    </xf>
    <xf numFmtId="0" fontId="1" fillId="19" borderId="50" xfId="0" applyFont="1" applyFill="1" applyBorder="1" applyAlignment="1">
      <alignment horizontal="right"/>
    </xf>
    <xf numFmtId="0" fontId="2" fillId="19" borderId="6" xfId="0" applyFont="1" applyFill="1" applyBorder="1" applyAlignment="1">
      <alignment wrapText="1"/>
    </xf>
    <xf numFmtId="17" fontId="2" fillId="19" borderId="16" xfId="0" applyNumberFormat="1" applyFont="1" applyFill="1" applyBorder="1"/>
    <xf numFmtId="0" fontId="2" fillId="20" borderId="6" xfId="0" applyFont="1" applyFill="1" applyBorder="1" applyAlignment="1">
      <alignment vertical="top" wrapText="1"/>
    </xf>
    <xf numFmtId="17" fontId="2" fillId="20" borderId="6" xfId="0" applyNumberFormat="1" applyFont="1" applyFill="1" applyBorder="1" applyAlignment="1">
      <alignment vertical="top" wrapText="1"/>
    </xf>
    <xf numFmtId="0" fontId="5" fillId="0" borderId="14" xfId="0" applyFont="1" applyBorder="1" applyAlignment="1">
      <alignment horizontal="center"/>
    </xf>
    <xf numFmtId="0" fontId="5" fillId="0" borderId="15" xfId="0" applyFont="1" applyBorder="1" applyAlignment="1">
      <alignment horizontal="center"/>
    </xf>
    <xf numFmtId="2" fontId="4" fillId="10" borderId="16" xfId="0" applyNumberFormat="1" applyFont="1" applyFill="1" applyBorder="1" applyAlignment="1">
      <alignment horizontal="center" wrapText="1"/>
    </xf>
    <xf numFmtId="0" fontId="1" fillId="2" borderId="4" xfId="0" applyFont="1" applyFill="1" applyBorder="1" applyAlignment="1">
      <alignment horizontal="center"/>
    </xf>
    <xf numFmtId="0" fontId="1" fillId="2" borderId="47" xfId="0" applyFont="1" applyFill="1" applyBorder="1" applyAlignment="1">
      <alignment horizontal="center"/>
    </xf>
    <xf numFmtId="0" fontId="2" fillId="13" borderId="60" xfId="0" applyFont="1" applyFill="1" applyBorder="1" applyAlignment="1">
      <alignment vertical="center" wrapText="1"/>
    </xf>
    <xf numFmtId="0" fontId="2" fillId="13" borderId="2" xfId="0" applyFont="1" applyFill="1" applyBorder="1" applyAlignment="1">
      <alignment horizontal="left" vertical="center" wrapText="1"/>
    </xf>
    <xf numFmtId="0" fontId="2" fillId="13" borderId="23" xfId="0" applyFont="1" applyFill="1" applyBorder="1" applyAlignment="1">
      <alignment vertical="center" wrapText="1"/>
    </xf>
    <xf numFmtId="0" fontId="2" fillId="13" borderId="6" xfId="0" applyFont="1" applyFill="1" applyBorder="1" applyAlignment="1">
      <alignment horizontal="left" vertical="center" wrapText="1"/>
    </xf>
    <xf numFmtId="0" fontId="2" fillId="13" borderId="6" xfId="0" applyFont="1" applyFill="1" applyBorder="1" applyAlignment="1">
      <alignment vertical="center" wrapText="1"/>
    </xf>
    <xf numFmtId="0" fontId="2" fillId="13" borderId="5" xfId="0" applyFont="1" applyFill="1" applyBorder="1" applyAlignment="1">
      <alignment horizontal="left" vertical="center" wrapText="1"/>
    </xf>
    <xf numFmtId="0" fontId="0" fillId="0" borderId="17" xfId="0" applyFont="1" applyBorder="1" applyAlignment="1">
      <alignment horizontal="left" vertical="center" wrapText="1"/>
    </xf>
    <xf numFmtId="0" fontId="2" fillId="13" borderId="10" xfId="0" applyFont="1" applyFill="1" applyBorder="1" applyAlignment="1">
      <alignment vertical="center" wrapText="1"/>
    </xf>
    <xf numFmtId="0" fontId="2" fillId="13" borderId="11" xfId="0" applyFont="1" applyFill="1" applyBorder="1" applyAlignment="1">
      <alignment vertical="center" wrapText="1"/>
    </xf>
    <xf numFmtId="0" fontId="2" fillId="13" borderId="51" xfId="0" applyFont="1" applyFill="1" applyBorder="1" applyAlignment="1">
      <alignment vertical="center" wrapText="1"/>
    </xf>
    <xf numFmtId="0" fontId="2" fillId="13" borderId="14" xfId="0" applyFont="1" applyFill="1" applyBorder="1" applyAlignment="1">
      <alignment horizontal="center" vertical="center" wrapText="1"/>
    </xf>
    <xf numFmtId="0" fontId="2" fillId="13" borderId="44" xfId="0" applyFont="1" applyFill="1" applyBorder="1" applyAlignment="1">
      <alignment horizontal="left" vertical="center" wrapText="1"/>
    </xf>
    <xf numFmtId="0" fontId="2" fillId="13" borderId="45" xfId="0" applyFont="1" applyFill="1" applyBorder="1" applyAlignment="1">
      <alignment horizontal="center" vertical="center" wrapText="1"/>
    </xf>
    <xf numFmtId="0" fontId="1" fillId="2" borderId="51" xfId="0" applyFont="1" applyFill="1" applyBorder="1" applyAlignment="1">
      <alignment horizontal="center"/>
    </xf>
    <xf numFmtId="0" fontId="1" fillId="2" borderId="15" xfId="0" applyFont="1" applyFill="1" applyBorder="1" applyAlignment="1">
      <alignment horizontal="center"/>
    </xf>
    <xf numFmtId="0" fontId="2" fillId="0" borderId="44" xfId="0" applyFont="1" applyBorder="1" applyAlignment="1">
      <alignment horizontal="left" vertical="center" wrapText="1"/>
    </xf>
    <xf numFmtId="0" fontId="2" fillId="0" borderId="45" xfId="0" applyFont="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center" vertical="center" wrapText="1"/>
    </xf>
    <xf numFmtId="0" fontId="2" fillId="0" borderId="45"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1" fillId="2" borderId="67" xfId="0" applyFont="1" applyFill="1" applyBorder="1" applyAlignment="1">
      <alignment horizontal="center"/>
    </xf>
    <xf numFmtId="0" fontId="1" fillId="2" borderId="45" xfId="0" applyFont="1" applyFill="1" applyBorder="1" applyAlignment="1">
      <alignment horizontal="center"/>
    </xf>
    <xf numFmtId="0" fontId="2" fillId="0" borderId="44" xfId="0" applyFont="1" applyBorder="1" applyAlignment="1">
      <alignment horizontal="left" vertical="center"/>
    </xf>
    <xf numFmtId="49" fontId="2" fillId="0" borderId="67" xfId="0" applyNumberFormat="1" applyFont="1" applyBorder="1" applyAlignment="1">
      <alignment horizontal="center" vertical="center"/>
    </xf>
    <xf numFmtId="0" fontId="2" fillId="0" borderId="68" xfId="0" applyFont="1" applyBorder="1" applyAlignment="1">
      <alignment horizontal="left" vertical="center" wrapText="1"/>
    </xf>
    <xf numFmtId="49" fontId="2" fillId="0" borderId="69" xfId="0" applyNumberFormat="1" applyFont="1" applyBorder="1" applyAlignment="1">
      <alignment horizontal="center" vertical="center" wrapText="1"/>
    </xf>
    <xf numFmtId="0" fontId="2" fillId="0" borderId="70" xfId="0" applyFont="1" applyBorder="1" applyAlignment="1">
      <alignment horizontal="left" vertical="center" wrapText="1"/>
    </xf>
    <xf numFmtId="0" fontId="2" fillId="0" borderId="10" xfId="0" applyFont="1" applyBorder="1" applyAlignment="1">
      <alignment horizontal="left" vertical="center" wrapText="1"/>
    </xf>
    <xf numFmtId="49" fontId="2" fillId="0" borderId="71" xfId="0" applyNumberFormat="1" applyFont="1" applyBorder="1" applyAlignment="1">
      <alignment horizontal="center" vertical="center" wrapText="1"/>
    </xf>
    <xf numFmtId="0" fontId="0" fillId="0" borderId="45" xfId="0" applyFont="1" applyBorder="1" applyAlignment="1">
      <alignment horizontal="left" vertical="center" wrapText="1"/>
    </xf>
    <xf numFmtId="0" fontId="1" fillId="2" borderId="46" xfId="0" applyFont="1" applyFill="1" applyBorder="1" applyAlignment="1">
      <alignment horizontal="center"/>
    </xf>
    <xf numFmtId="0" fontId="1" fillId="2" borderId="54" xfId="0" applyFont="1" applyFill="1" applyBorder="1" applyAlignment="1">
      <alignment horizontal="center"/>
    </xf>
    <xf numFmtId="0" fontId="1" fillId="2" borderId="72" xfId="0" applyFont="1" applyFill="1" applyBorder="1" applyAlignment="1">
      <alignment horizontal="center"/>
    </xf>
    <xf numFmtId="0" fontId="1" fillId="2" borderId="56" xfId="0" applyFont="1" applyFill="1" applyBorder="1" applyAlignment="1">
      <alignment horizontal="center"/>
    </xf>
    <xf numFmtId="0" fontId="2" fillId="0" borderId="44" xfId="0" applyFont="1" applyBorder="1" applyAlignment="1">
      <alignment vertical="center"/>
    </xf>
    <xf numFmtId="0" fontId="2" fillId="0" borderId="67" xfId="0" applyFont="1" applyBorder="1" applyAlignment="1">
      <alignment horizontal="center" vertical="center"/>
    </xf>
    <xf numFmtId="0" fontId="2" fillId="0" borderId="67" xfId="0" applyFont="1" applyBorder="1" applyAlignment="1">
      <alignment horizontal="center" vertical="center" wrapText="1"/>
    </xf>
    <xf numFmtId="0" fontId="2" fillId="0" borderId="45" xfId="0" applyFont="1" applyBorder="1" applyAlignment="1">
      <alignment vertical="center" wrapText="1"/>
    </xf>
    <xf numFmtId="14" fontId="2" fillId="0" borderId="67" xfId="0" applyNumberFormat="1" applyFont="1" applyBorder="1" applyAlignment="1">
      <alignment horizontal="center" vertical="center" wrapText="1"/>
    </xf>
    <xf numFmtId="0" fontId="2" fillId="0" borderId="61" xfId="0" applyFont="1" applyBorder="1" applyAlignment="1">
      <alignment horizontal="center" vertical="center" wrapText="1"/>
    </xf>
    <xf numFmtId="0" fontId="1" fillId="0" borderId="1" xfId="0" applyFont="1" applyBorder="1" applyAlignment="1">
      <alignment horizontal="left" vertical="center" wrapText="1"/>
    </xf>
    <xf numFmtId="14" fontId="0" fillId="0" borderId="61" xfId="0" applyNumberFormat="1" applyBorder="1" applyAlignment="1">
      <alignment horizontal="center" vertical="center" wrapText="1"/>
    </xf>
    <xf numFmtId="0" fontId="2" fillId="13" borderId="17" xfId="0" applyFont="1" applyFill="1" applyBorder="1" applyAlignment="1">
      <alignment horizontal="left" vertical="center" wrapText="1"/>
    </xf>
    <xf numFmtId="0" fontId="2" fillId="13" borderId="62" xfId="0" applyFont="1" applyFill="1" applyBorder="1" applyAlignment="1">
      <alignment horizontal="left" vertical="center" wrapText="1"/>
    </xf>
    <xf numFmtId="0" fontId="2" fillId="13" borderId="18" xfId="0" applyFont="1" applyFill="1" applyBorder="1" applyAlignment="1">
      <alignment horizontal="left" vertical="center" wrapText="1"/>
    </xf>
    <xf numFmtId="0" fontId="2" fillId="0" borderId="44" xfId="0" applyFont="1" applyBorder="1" applyAlignment="1">
      <alignment horizontal="center" vertical="center" wrapText="1"/>
    </xf>
    <xf numFmtId="15" fontId="2" fillId="0" borderId="16" xfId="0" applyNumberFormat="1" applyFont="1" applyBorder="1" applyAlignment="1">
      <alignment horizont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15" fontId="0" fillId="0" borderId="16" xfId="0" applyNumberFormat="1" applyBorder="1" applyAlignment="1">
      <alignment horizontal="center"/>
    </xf>
    <xf numFmtId="0" fontId="2" fillId="0" borderId="5" xfId="0" applyFont="1" applyBorder="1" applyAlignment="1">
      <alignment horizontal="center" vertical="center"/>
    </xf>
    <xf numFmtId="14" fontId="0" fillId="0" borderId="16" xfId="0" applyNumberFormat="1" applyBorder="1" applyAlignment="1">
      <alignment horizontal="center" vertical="center"/>
    </xf>
    <xf numFmtId="0" fontId="0" fillId="0" borderId="6" xfId="0" applyBorder="1" applyAlignment="1">
      <alignment horizontal="center" vertical="center" wrapText="1"/>
    </xf>
    <xf numFmtId="14" fontId="0" fillId="0" borderId="71" xfId="0" applyNumberFormat="1" applyBorder="1" applyAlignment="1">
      <alignment horizontal="center" vertical="center"/>
    </xf>
    <xf numFmtId="0" fontId="0" fillId="0" borderId="11" xfId="0" applyBorder="1" applyAlignment="1">
      <alignment horizontal="center" vertical="center"/>
    </xf>
    <xf numFmtId="10" fontId="10" fillId="17" borderId="17" xfId="0" applyNumberFormat="1" applyFont="1" applyFill="1" applyBorder="1" applyAlignment="1">
      <alignment horizontal="center" vertical="center" wrapText="1"/>
    </xf>
    <xf numFmtId="10" fontId="9" fillId="11" borderId="17" xfId="0" applyNumberFormat="1" applyFont="1" applyFill="1" applyBorder="1" applyAlignment="1">
      <alignment horizontal="center" vertical="center" wrapText="1"/>
    </xf>
  </cellXfs>
  <cellStyles count="2">
    <cellStyle name="Excel Built-in Explanatory Text" xfId="1" xr:uid="{00000000-0005-0000-0000-000000000000}"/>
    <cellStyle name="Normal" xfId="0" builtinId="0"/>
  </cellStyles>
  <dxfs count="0"/>
  <tableStyles count="0" defaultTableStyle="TableStyleMedium2" defaultPivotStyle="PivotStyleLight16"/>
  <colors>
    <indexedColors>
      <rgbColor rgb="FF000000"/>
      <rgbColor rgb="FFFFFFFF"/>
      <rgbColor rgb="FFFF0000"/>
      <rgbColor rgb="FF00FF00"/>
      <rgbColor rgb="FF0000D4"/>
      <rgbColor rgb="FFFFFF00"/>
      <rgbColor rgb="FFFF00FF"/>
      <rgbColor rgb="FF00FFFF"/>
      <rgbColor rgb="FF800000"/>
      <rgbColor rgb="FF1FB714"/>
      <rgbColor rgb="FF000080"/>
      <rgbColor rgb="FF808000"/>
      <rgbColor rgb="FF800080"/>
      <rgbColor rgb="FF008080"/>
      <rgbColor rgb="FFC0C0C0"/>
      <rgbColor rgb="FF808080"/>
      <rgbColor rgb="FFCD99FF"/>
      <rgbColor rgb="FF7030A0"/>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00B050"/>
      <rgbColor rgb="FF003300"/>
      <rgbColor rgb="FF333300"/>
      <rgbColor rgb="FFDD0806"/>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150120</xdr:colOff>
      <xdr:row>37</xdr:row>
      <xdr:rowOff>4320</xdr:rowOff>
    </xdr:to>
    <xdr:sp macro="" textlink="">
      <xdr:nvSpPr>
        <xdr:cNvPr id="2" name="CustomShape 1" hidden="1">
          <a:extLst>
            <a:ext uri="{FF2B5EF4-FFF2-40B4-BE49-F238E27FC236}">
              <a16:creationId xmlns:a16="http://schemas.microsoft.com/office/drawing/2014/main" id="{00000000-0008-0000-0200-000002000000}"/>
            </a:ext>
          </a:extLst>
        </xdr:cNvPr>
        <xdr:cNvSpPr/>
      </xdr:nvSpPr>
      <xdr:spPr>
        <a:xfrm>
          <a:off x="0" y="0"/>
          <a:ext cx="10085040" cy="93895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150120</xdr:colOff>
      <xdr:row>37</xdr:row>
      <xdr:rowOff>4320</xdr:rowOff>
    </xdr:to>
    <xdr:sp macro="" textlink="">
      <xdr:nvSpPr>
        <xdr:cNvPr id="3" name="CustomShape 1" hidden="1">
          <a:extLst>
            <a:ext uri="{FF2B5EF4-FFF2-40B4-BE49-F238E27FC236}">
              <a16:creationId xmlns:a16="http://schemas.microsoft.com/office/drawing/2014/main" id="{00000000-0008-0000-0200-000003000000}"/>
            </a:ext>
          </a:extLst>
        </xdr:cNvPr>
        <xdr:cNvSpPr/>
      </xdr:nvSpPr>
      <xdr:spPr>
        <a:xfrm>
          <a:off x="0" y="0"/>
          <a:ext cx="10085040" cy="93895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150480</xdr:colOff>
      <xdr:row>38</xdr:row>
      <xdr:rowOff>29880</xdr:rowOff>
    </xdr:to>
    <xdr:sp macro="" textlink="">
      <xdr:nvSpPr>
        <xdr:cNvPr id="4" name="CustomShape 1" hidden="1">
          <a:extLst>
            <a:ext uri="{FF2B5EF4-FFF2-40B4-BE49-F238E27FC236}">
              <a16:creationId xmlns:a16="http://schemas.microsoft.com/office/drawing/2014/main" id="{00000000-0008-0000-0200-000004000000}"/>
            </a:ext>
          </a:extLst>
        </xdr:cNvPr>
        <xdr:cNvSpPr/>
      </xdr:nvSpPr>
      <xdr:spPr>
        <a:xfrm>
          <a:off x="0" y="0"/>
          <a:ext cx="10085400" cy="95799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150480</xdr:colOff>
      <xdr:row>38</xdr:row>
      <xdr:rowOff>29880</xdr:rowOff>
    </xdr:to>
    <xdr:sp macro="" textlink="">
      <xdr:nvSpPr>
        <xdr:cNvPr id="5" name="CustomShape 1" hidden="1">
          <a:extLst>
            <a:ext uri="{FF2B5EF4-FFF2-40B4-BE49-F238E27FC236}">
              <a16:creationId xmlns:a16="http://schemas.microsoft.com/office/drawing/2014/main" id="{00000000-0008-0000-0200-000005000000}"/>
            </a:ext>
          </a:extLst>
        </xdr:cNvPr>
        <xdr:cNvSpPr/>
      </xdr:nvSpPr>
      <xdr:spPr>
        <a:xfrm>
          <a:off x="0" y="0"/>
          <a:ext cx="10085400" cy="95799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160560</xdr:colOff>
      <xdr:row>39</xdr:row>
      <xdr:rowOff>81000</xdr:rowOff>
    </xdr:to>
    <xdr:sp macro="" textlink="">
      <xdr:nvSpPr>
        <xdr:cNvPr id="6" name="CustomShape 1" hidden="1">
          <a:extLst>
            <a:ext uri="{FF2B5EF4-FFF2-40B4-BE49-F238E27FC236}">
              <a16:creationId xmlns:a16="http://schemas.microsoft.com/office/drawing/2014/main" id="{00000000-0008-0000-0200-000006000000}"/>
            </a:ext>
          </a:extLst>
        </xdr:cNvPr>
        <xdr:cNvSpPr/>
      </xdr:nvSpPr>
      <xdr:spPr>
        <a:xfrm>
          <a:off x="0" y="0"/>
          <a:ext cx="10095480" cy="97963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160560</xdr:colOff>
      <xdr:row>39</xdr:row>
      <xdr:rowOff>81000</xdr:rowOff>
    </xdr:to>
    <xdr:sp macro="" textlink="">
      <xdr:nvSpPr>
        <xdr:cNvPr id="7" name="CustomShape 1" hidden="1">
          <a:extLst>
            <a:ext uri="{FF2B5EF4-FFF2-40B4-BE49-F238E27FC236}">
              <a16:creationId xmlns:a16="http://schemas.microsoft.com/office/drawing/2014/main" id="{00000000-0008-0000-0200-000007000000}"/>
            </a:ext>
          </a:extLst>
        </xdr:cNvPr>
        <xdr:cNvSpPr/>
      </xdr:nvSpPr>
      <xdr:spPr>
        <a:xfrm>
          <a:off x="0" y="0"/>
          <a:ext cx="10095480" cy="97963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151200</xdr:colOff>
      <xdr:row>40</xdr:row>
      <xdr:rowOff>122760</xdr:rowOff>
    </xdr:to>
    <xdr:sp macro="" textlink="">
      <xdr:nvSpPr>
        <xdr:cNvPr id="8" name="CustomShape 1" hidden="1">
          <a:extLst>
            <a:ext uri="{FF2B5EF4-FFF2-40B4-BE49-F238E27FC236}">
              <a16:creationId xmlns:a16="http://schemas.microsoft.com/office/drawing/2014/main" id="{00000000-0008-0000-0200-000008000000}"/>
            </a:ext>
          </a:extLst>
        </xdr:cNvPr>
        <xdr:cNvSpPr/>
      </xdr:nvSpPr>
      <xdr:spPr>
        <a:xfrm>
          <a:off x="0" y="0"/>
          <a:ext cx="10086120" cy="100033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151560</xdr:colOff>
      <xdr:row>42</xdr:row>
      <xdr:rowOff>8640</xdr:rowOff>
    </xdr:to>
    <xdr:sp macro="" textlink="">
      <xdr:nvSpPr>
        <xdr:cNvPr id="9" name="CustomShape 1" hidden="1">
          <a:extLst>
            <a:ext uri="{FF2B5EF4-FFF2-40B4-BE49-F238E27FC236}">
              <a16:creationId xmlns:a16="http://schemas.microsoft.com/office/drawing/2014/main" id="{00000000-0008-0000-0200-000009000000}"/>
            </a:ext>
          </a:extLst>
        </xdr:cNvPr>
        <xdr:cNvSpPr/>
      </xdr:nvSpPr>
      <xdr:spPr>
        <a:xfrm>
          <a:off x="0" y="0"/>
          <a:ext cx="10086480" cy="102193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150120</xdr:colOff>
      <xdr:row>38</xdr:row>
      <xdr:rowOff>55120</xdr:rowOff>
    </xdr:to>
    <xdr:sp macro="" textlink="">
      <xdr:nvSpPr>
        <xdr:cNvPr id="8" name="CustomShape 1" hidden="1">
          <a:extLst>
            <a:ext uri="{FF2B5EF4-FFF2-40B4-BE49-F238E27FC236}">
              <a16:creationId xmlns:a16="http://schemas.microsoft.com/office/drawing/2014/main" id="{00000000-0008-0000-0300-000008000000}"/>
            </a:ext>
          </a:extLst>
        </xdr:cNvPr>
        <xdr:cNvSpPr/>
      </xdr:nvSpPr>
      <xdr:spPr>
        <a:xfrm>
          <a:off x="0" y="0"/>
          <a:ext cx="10085040" cy="93895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150120</xdr:colOff>
      <xdr:row>38</xdr:row>
      <xdr:rowOff>55120</xdr:rowOff>
    </xdr:to>
    <xdr:sp macro="" textlink="">
      <xdr:nvSpPr>
        <xdr:cNvPr id="9" name="CustomShape 1" hidden="1">
          <a:extLst>
            <a:ext uri="{FF2B5EF4-FFF2-40B4-BE49-F238E27FC236}">
              <a16:creationId xmlns:a16="http://schemas.microsoft.com/office/drawing/2014/main" id="{00000000-0008-0000-0300-000009000000}"/>
            </a:ext>
          </a:extLst>
        </xdr:cNvPr>
        <xdr:cNvSpPr/>
      </xdr:nvSpPr>
      <xdr:spPr>
        <a:xfrm>
          <a:off x="0" y="0"/>
          <a:ext cx="10085040" cy="93895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150480</xdr:colOff>
      <xdr:row>39</xdr:row>
      <xdr:rowOff>80680</xdr:rowOff>
    </xdr:to>
    <xdr:sp macro="" textlink="">
      <xdr:nvSpPr>
        <xdr:cNvPr id="10" name="CustomShape 1" hidden="1">
          <a:extLst>
            <a:ext uri="{FF2B5EF4-FFF2-40B4-BE49-F238E27FC236}">
              <a16:creationId xmlns:a16="http://schemas.microsoft.com/office/drawing/2014/main" id="{00000000-0008-0000-0300-00000A000000}"/>
            </a:ext>
          </a:extLst>
        </xdr:cNvPr>
        <xdr:cNvSpPr/>
      </xdr:nvSpPr>
      <xdr:spPr>
        <a:xfrm>
          <a:off x="0" y="0"/>
          <a:ext cx="10085400" cy="95799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150480</xdr:colOff>
      <xdr:row>39</xdr:row>
      <xdr:rowOff>80680</xdr:rowOff>
    </xdr:to>
    <xdr:sp macro="" textlink="">
      <xdr:nvSpPr>
        <xdr:cNvPr id="11" name="CustomShape 1" hidden="1">
          <a:extLst>
            <a:ext uri="{FF2B5EF4-FFF2-40B4-BE49-F238E27FC236}">
              <a16:creationId xmlns:a16="http://schemas.microsoft.com/office/drawing/2014/main" id="{00000000-0008-0000-0300-00000B000000}"/>
            </a:ext>
          </a:extLst>
        </xdr:cNvPr>
        <xdr:cNvSpPr/>
      </xdr:nvSpPr>
      <xdr:spPr>
        <a:xfrm>
          <a:off x="0" y="0"/>
          <a:ext cx="10085400" cy="95799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160560</xdr:colOff>
      <xdr:row>40</xdr:row>
      <xdr:rowOff>131800</xdr:rowOff>
    </xdr:to>
    <xdr:sp macro="" textlink="">
      <xdr:nvSpPr>
        <xdr:cNvPr id="12" name="CustomShape 1" hidden="1">
          <a:extLst>
            <a:ext uri="{FF2B5EF4-FFF2-40B4-BE49-F238E27FC236}">
              <a16:creationId xmlns:a16="http://schemas.microsoft.com/office/drawing/2014/main" id="{00000000-0008-0000-0300-00000C000000}"/>
            </a:ext>
          </a:extLst>
        </xdr:cNvPr>
        <xdr:cNvSpPr/>
      </xdr:nvSpPr>
      <xdr:spPr>
        <a:xfrm>
          <a:off x="0" y="0"/>
          <a:ext cx="10095480" cy="97963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160560</xdr:colOff>
      <xdr:row>40</xdr:row>
      <xdr:rowOff>131800</xdr:rowOff>
    </xdr:to>
    <xdr:sp macro="" textlink="">
      <xdr:nvSpPr>
        <xdr:cNvPr id="13" name="CustomShape 1" hidden="1">
          <a:extLst>
            <a:ext uri="{FF2B5EF4-FFF2-40B4-BE49-F238E27FC236}">
              <a16:creationId xmlns:a16="http://schemas.microsoft.com/office/drawing/2014/main" id="{00000000-0008-0000-0300-00000D000000}"/>
            </a:ext>
          </a:extLst>
        </xdr:cNvPr>
        <xdr:cNvSpPr/>
      </xdr:nvSpPr>
      <xdr:spPr>
        <a:xfrm>
          <a:off x="0" y="0"/>
          <a:ext cx="10095480" cy="97963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151200</xdr:colOff>
      <xdr:row>42</xdr:row>
      <xdr:rowOff>8460</xdr:rowOff>
    </xdr:to>
    <xdr:sp macro="" textlink="">
      <xdr:nvSpPr>
        <xdr:cNvPr id="14" name="CustomShape 1" hidden="1">
          <a:extLst>
            <a:ext uri="{FF2B5EF4-FFF2-40B4-BE49-F238E27FC236}">
              <a16:creationId xmlns:a16="http://schemas.microsoft.com/office/drawing/2014/main" id="{00000000-0008-0000-0300-00000E000000}"/>
            </a:ext>
          </a:extLst>
        </xdr:cNvPr>
        <xdr:cNvSpPr/>
      </xdr:nvSpPr>
      <xdr:spPr>
        <a:xfrm>
          <a:off x="0" y="0"/>
          <a:ext cx="10086120" cy="100033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151560</xdr:colOff>
      <xdr:row>43</xdr:row>
      <xdr:rowOff>59440</xdr:rowOff>
    </xdr:to>
    <xdr:sp macro="" textlink="">
      <xdr:nvSpPr>
        <xdr:cNvPr id="15" name="CustomShape 1" hidden="1">
          <a:extLst>
            <a:ext uri="{FF2B5EF4-FFF2-40B4-BE49-F238E27FC236}">
              <a16:creationId xmlns:a16="http://schemas.microsoft.com/office/drawing/2014/main" id="{00000000-0008-0000-0300-00000F000000}"/>
            </a:ext>
          </a:extLst>
        </xdr:cNvPr>
        <xdr:cNvSpPr/>
      </xdr:nvSpPr>
      <xdr:spPr>
        <a:xfrm>
          <a:off x="0" y="0"/>
          <a:ext cx="10086480" cy="102193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MJ47"/>
  <sheetViews>
    <sheetView topLeftCell="E13" zoomScale="90" zoomScaleNormal="90" workbookViewId="0">
      <selection activeCell="S16" sqref="S16"/>
    </sheetView>
  </sheetViews>
  <sheetFormatPr baseColWidth="10" defaultColWidth="8.83203125" defaultRowHeight="13" x14ac:dyDescent="0.15"/>
  <cols>
    <col min="1" max="1" width="12.33203125" customWidth="1"/>
    <col min="2" max="2" width="15.83203125" customWidth="1"/>
    <col min="3" max="3" width="27.33203125" customWidth="1"/>
    <col min="4" max="4" width="17.5" customWidth="1"/>
    <col min="5" max="5" width="16.33203125" customWidth="1"/>
    <col min="6" max="6" width="11.5" customWidth="1"/>
    <col min="7" max="12" width="14.1640625" style="1" customWidth="1"/>
    <col min="13" max="13" width="8.5" style="1" customWidth="1"/>
    <col min="14" max="14" width="9.33203125" style="1" customWidth="1"/>
    <col min="15" max="15" width="7.83203125" style="1" bestFit="1" customWidth="1"/>
    <col min="16" max="16" width="7.1640625" style="1" customWidth="1"/>
    <col min="17" max="17" width="9.33203125" style="1" customWidth="1"/>
    <col min="18" max="18" width="12" style="1" customWidth="1"/>
    <col min="19" max="19" width="13" style="1" customWidth="1"/>
    <col min="20" max="20" width="10.5" customWidth="1"/>
    <col min="21" max="21" width="9.83203125" customWidth="1"/>
    <col min="22" max="22" width="10.83203125" customWidth="1"/>
    <col min="23" max="23" width="11.1640625" customWidth="1"/>
    <col min="24" max="24" width="12.33203125" customWidth="1"/>
    <col min="25" max="25" width="11" customWidth="1"/>
    <col min="26" max="26" width="10" customWidth="1"/>
    <col min="27" max="27" width="10.6640625" customWidth="1"/>
    <col min="28" max="28" width="10.5" customWidth="1"/>
    <col min="29" max="29" width="11" customWidth="1"/>
    <col min="30" max="30" width="11.5" customWidth="1"/>
    <col min="31" max="31" width="10.83203125" customWidth="1"/>
    <col min="32" max="32" width="17.5" customWidth="1"/>
  </cols>
  <sheetData>
    <row r="2" spans="1:32" ht="14" x14ac:dyDescent="0.15">
      <c r="A2" s="2" t="s">
        <v>0</v>
      </c>
      <c r="B2" s="3"/>
      <c r="C2" s="4"/>
      <c r="D2" s="5"/>
      <c r="E2" s="6" t="s">
        <v>1</v>
      </c>
      <c r="G2" s="7"/>
      <c r="H2" s="7"/>
      <c r="I2" s="7"/>
      <c r="J2" s="7"/>
      <c r="K2" s="7"/>
      <c r="L2" s="7"/>
      <c r="M2" s="7"/>
      <c r="N2" s="7"/>
      <c r="O2" s="7"/>
      <c r="P2" s="7"/>
      <c r="Q2" s="7"/>
      <c r="R2" s="7"/>
      <c r="S2" s="7"/>
    </row>
    <row r="3" spans="1:32" ht="14" x14ac:dyDescent="0.15">
      <c r="A3" s="8" t="s">
        <v>2</v>
      </c>
      <c r="B3" s="9" t="s">
        <v>3</v>
      </c>
      <c r="C3" s="4"/>
      <c r="D3" s="10"/>
      <c r="E3" s="11" t="s">
        <v>4</v>
      </c>
      <c r="G3" s="7"/>
      <c r="H3" s="7"/>
      <c r="I3" s="7"/>
      <c r="J3" s="7"/>
      <c r="K3" s="7"/>
      <c r="L3" s="7"/>
      <c r="M3" s="7"/>
      <c r="N3" s="7"/>
      <c r="O3" s="7"/>
      <c r="P3" s="7"/>
      <c r="Q3" s="7"/>
      <c r="R3" s="7"/>
      <c r="S3" s="7"/>
    </row>
    <row r="4" spans="1:32" ht="14" x14ac:dyDescent="0.15">
      <c r="A4" s="8" t="s">
        <v>5</v>
      </c>
      <c r="B4" s="12" t="s">
        <v>6</v>
      </c>
      <c r="C4" s="4"/>
      <c r="D4" s="13"/>
      <c r="E4" s="11" t="s">
        <v>7</v>
      </c>
      <c r="F4" s="14"/>
      <c r="G4" s="7"/>
      <c r="H4" s="7"/>
      <c r="I4" s="7"/>
      <c r="J4" s="7"/>
      <c r="K4" s="7"/>
      <c r="L4" s="7"/>
      <c r="M4" s="7"/>
      <c r="N4" s="7"/>
      <c r="O4" s="7"/>
      <c r="P4" s="7"/>
      <c r="Q4" s="7"/>
      <c r="R4" s="7"/>
      <c r="S4" s="7"/>
    </row>
    <row r="5" spans="1:32" ht="28" x14ac:dyDescent="0.15">
      <c r="A5" s="15" t="s">
        <v>8</v>
      </c>
      <c r="B5" s="16" t="s">
        <v>9</v>
      </c>
      <c r="C5" s="4"/>
      <c r="D5" s="17"/>
      <c r="E5" s="11" t="s">
        <v>10</v>
      </c>
      <c r="G5" s="7"/>
      <c r="H5" s="7"/>
      <c r="I5" s="7"/>
      <c r="J5" s="7"/>
      <c r="K5" s="7"/>
      <c r="L5" s="7"/>
      <c r="M5" s="7"/>
      <c r="N5" s="7"/>
      <c r="O5" s="7"/>
      <c r="P5" s="7"/>
      <c r="Q5" s="7"/>
      <c r="R5" s="7"/>
      <c r="S5" s="7"/>
    </row>
    <row r="6" spans="1:32" ht="14" x14ac:dyDescent="0.15">
      <c r="A6" s="18"/>
      <c r="D6" s="19"/>
      <c r="E6" s="20" t="s">
        <v>11</v>
      </c>
      <c r="G6" s="7"/>
      <c r="H6" s="7"/>
      <c r="I6" s="7"/>
      <c r="J6" s="7"/>
      <c r="K6" s="7"/>
      <c r="L6" s="7"/>
      <c r="M6" s="7"/>
      <c r="N6" s="7"/>
      <c r="O6" s="7"/>
      <c r="P6" s="7"/>
      <c r="Q6" s="7"/>
      <c r="R6" s="7"/>
      <c r="S6" s="7"/>
    </row>
    <row r="8" spans="1:32" ht="21" customHeight="1" x14ac:dyDescent="0.15">
      <c r="A8" s="21" t="s">
        <v>12</v>
      </c>
      <c r="B8" s="21" t="s">
        <v>13</v>
      </c>
      <c r="C8" s="21" t="s">
        <v>14</v>
      </c>
      <c r="D8" s="22" t="s">
        <v>15</v>
      </c>
      <c r="E8" s="21" t="s">
        <v>16</v>
      </c>
      <c r="F8" s="21" t="s">
        <v>17</v>
      </c>
      <c r="G8" s="23" t="s">
        <v>18</v>
      </c>
      <c r="H8" s="23" t="s">
        <v>19</v>
      </c>
      <c r="I8" s="23" t="s">
        <v>20</v>
      </c>
      <c r="J8" s="23" t="s">
        <v>21</v>
      </c>
      <c r="K8" s="23" t="s">
        <v>22</v>
      </c>
      <c r="L8" s="23" t="s">
        <v>23</v>
      </c>
      <c r="M8" s="23" t="s">
        <v>24</v>
      </c>
      <c r="N8" s="23" t="s">
        <v>25</v>
      </c>
      <c r="O8" s="23" t="s">
        <v>26</v>
      </c>
      <c r="P8" s="23" t="s">
        <v>27</v>
      </c>
      <c r="Q8" s="23" t="s">
        <v>28</v>
      </c>
      <c r="R8" s="23" t="s">
        <v>29</v>
      </c>
      <c r="S8" s="23" t="s">
        <v>30</v>
      </c>
      <c r="T8" s="24" t="s">
        <v>31</v>
      </c>
      <c r="U8" s="24" t="s">
        <v>32</v>
      </c>
      <c r="V8" s="24" t="s">
        <v>33</v>
      </c>
      <c r="W8" s="24" t="s">
        <v>34</v>
      </c>
      <c r="X8" s="24" t="s">
        <v>35</v>
      </c>
      <c r="Y8" s="24" t="s">
        <v>36</v>
      </c>
      <c r="Z8" s="24" t="s">
        <v>37</v>
      </c>
      <c r="AA8" s="24" t="s">
        <v>38</v>
      </c>
      <c r="AB8" s="24" t="s">
        <v>39</v>
      </c>
      <c r="AC8" s="24" t="s">
        <v>40</v>
      </c>
      <c r="AD8" s="24" t="s">
        <v>41</v>
      </c>
      <c r="AE8" s="24" t="s">
        <v>42</v>
      </c>
      <c r="AF8" s="24" t="s">
        <v>43</v>
      </c>
    </row>
    <row r="9" spans="1:32" ht="70" x14ac:dyDescent="0.15">
      <c r="A9" s="25" t="s">
        <v>44</v>
      </c>
      <c r="B9" s="25" t="s">
        <v>45</v>
      </c>
      <c r="C9" s="26" t="s">
        <v>46</v>
      </c>
      <c r="D9" s="27"/>
      <c r="E9" s="48" t="s">
        <v>9</v>
      </c>
      <c r="F9" s="29">
        <v>1</v>
      </c>
      <c r="G9" s="183">
        <f>(1.43+1.43+1.42)/3</f>
        <v>1.4266666666666665</v>
      </c>
      <c r="H9" s="183"/>
      <c r="I9" s="183">
        <f>(1.04+1.04+1.13)/3</f>
        <v>1.07</v>
      </c>
      <c r="J9" s="183">
        <f>(1.13+1.13+0.96)/3</f>
        <v>1.0733333333333333</v>
      </c>
      <c r="K9" s="184">
        <f>(0.96+0.96+0.96)/3</f>
        <v>0.96</v>
      </c>
      <c r="L9" s="184">
        <f>(0.83+0.83+1.08)/3</f>
        <v>0.91333333333333344</v>
      </c>
      <c r="M9" s="183">
        <f>(1.07+1.07+1.13)/3</f>
        <v>1.0900000000000001</v>
      </c>
      <c r="N9" s="183">
        <v>1.19</v>
      </c>
      <c r="O9" s="183" t="s">
        <v>47</v>
      </c>
      <c r="P9" s="183">
        <v>1.17</v>
      </c>
      <c r="Q9" s="183">
        <v>1.2</v>
      </c>
      <c r="R9" s="183" t="s">
        <v>47</v>
      </c>
      <c r="S9" s="183">
        <v>1.1499999999999999</v>
      </c>
      <c r="T9" s="30"/>
      <c r="U9" s="30"/>
      <c r="V9" s="30"/>
      <c r="W9" s="30"/>
      <c r="X9" s="30"/>
      <c r="Y9" s="30"/>
      <c r="Z9" s="30"/>
      <c r="AA9" s="30"/>
      <c r="AB9" s="31" t="s">
        <v>48</v>
      </c>
      <c r="AC9" s="31"/>
      <c r="AD9" s="31"/>
      <c r="AE9" s="31"/>
      <c r="AF9" s="31"/>
    </row>
    <row r="10" spans="1:32" ht="70" x14ac:dyDescent="0.15">
      <c r="A10" s="25" t="s">
        <v>49</v>
      </c>
      <c r="B10" s="25" t="s">
        <v>50</v>
      </c>
      <c r="C10" s="32" t="s">
        <v>51</v>
      </c>
      <c r="D10" s="27"/>
      <c r="E10" s="48" t="s">
        <v>9</v>
      </c>
      <c r="F10" s="29">
        <v>1</v>
      </c>
      <c r="G10" s="183">
        <f>(1.45+1.42+1.46)/3</f>
        <v>1.4433333333333334</v>
      </c>
      <c r="H10" s="183">
        <f>(1.06+1.05+1.09)/3</f>
        <v>1.0666666666666667</v>
      </c>
      <c r="I10" s="183">
        <f>(1.02+1.04+1.1)/3</f>
        <v>1.0533333333333335</v>
      </c>
      <c r="J10" s="183">
        <f>(1.09+0.96+0.98)/3</f>
        <v>1.01</v>
      </c>
      <c r="K10" s="184">
        <f>(0.97+0.99+0.98)/3</f>
        <v>0.98</v>
      </c>
      <c r="L10" s="185">
        <f>(0.85+0.87+0.87)/3</f>
        <v>0.86333333333333329</v>
      </c>
      <c r="M10" s="184">
        <f>(1.09+0.817+0.905)/3</f>
        <v>0.93733333333333346</v>
      </c>
      <c r="N10" s="183">
        <v>1.18</v>
      </c>
      <c r="O10" s="183" t="s">
        <v>47</v>
      </c>
      <c r="P10" s="183">
        <v>1.06</v>
      </c>
      <c r="Q10" s="183">
        <v>1.06</v>
      </c>
      <c r="R10" s="183" t="s">
        <v>47</v>
      </c>
      <c r="S10" s="183" t="s">
        <v>47</v>
      </c>
      <c r="T10" s="30"/>
      <c r="U10" s="30"/>
      <c r="V10" s="30"/>
      <c r="W10" s="30"/>
      <c r="X10" s="30"/>
      <c r="Y10" s="30"/>
      <c r="Z10" s="30"/>
      <c r="AA10" s="30"/>
      <c r="AB10" s="31" t="s">
        <v>48</v>
      </c>
      <c r="AC10" s="31"/>
      <c r="AD10" s="31"/>
      <c r="AE10" s="31"/>
      <c r="AF10" s="31"/>
    </row>
    <row r="11" spans="1:32" ht="14" x14ac:dyDescent="0.15">
      <c r="A11" s="25" t="s">
        <v>52</v>
      </c>
      <c r="B11" s="25"/>
      <c r="C11" s="32" t="s">
        <v>53</v>
      </c>
      <c r="D11" s="27"/>
      <c r="E11" s="48" t="s">
        <v>9</v>
      </c>
      <c r="F11" s="29">
        <v>0.99</v>
      </c>
      <c r="G11" s="186"/>
      <c r="H11" s="186"/>
      <c r="I11" s="186"/>
      <c r="J11" s="186"/>
      <c r="K11" s="186"/>
      <c r="L11" s="186"/>
      <c r="M11" s="186"/>
      <c r="N11" s="186"/>
      <c r="O11" s="186"/>
      <c r="P11" s="186"/>
      <c r="Q11" s="186"/>
      <c r="R11" s="186"/>
      <c r="S11" s="186"/>
      <c r="T11" s="31"/>
      <c r="U11" s="31"/>
      <c r="V11" s="31"/>
      <c r="W11" s="31"/>
      <c r="X11" s="31"/>
      <c r="Y11" s="31"/>
      <c r="Z11" s="31"/>
      <c r="AA11" s="31"/>
      <c r="AB11" s="31"/>
      <c r="AC11" s="31"/>
      <c r="AD11" s="31"/>
      <c r="AE11" s="31"/>
      <c r="AF11" s="31"/>
    </row>
    <row r="12" spans="1:32" ht="42" x14ac:dyDescent="0.15">
      <c r="A12" s="25" t="s">
        <v>54</v>
      </c>
      <c r="B12" s="25"/>
      <c r="C12" s="32" t="s">
        <v>55</v>
      </c>
      <c r="D12" s="27"/>
      <c r="E12" s="48" t="s">
        <v>329</v>
      </c>
      <c r="F12" s="33">
        <v>2</v>
      </c>
      <c r="G12" s="187">
        <v>0</v>
      </c>
      <c r="H12" s="187">
        <v>0</v>
      </c>
      <c r="I12" s="187">
        <v>0</v>
      </c>
      <c r="J12" s="187">
        <v>0</v>
      </c>
      <c r="K12" s="187">
        <v>0</v>
      </c>
      <c r="L12" s="187">
        <v>0</v>
      </c>
      <c r="M12" s="187">
        <v>0</v>
      </c>
      <c r="N12" s="187">
        <v>0</v>
      </c>
      <c r="O12" s="187">
        <v>1</v>
      </c>
      <c r="P12" s="187">
        <v>0</v>
      </c>
      <c r="Q12" s="187">
        <v>0</v>
      </c>
      <c r="R12" s="187">
        <v>0</v>
      </c>
      <c r="S12" s="187">
        <v>0</v>
      </c>
      <c r="T12" s="31"/>
      <c r="U12" s="31"/>
      <c r="V12" s="31"/>
      <c r="W12" s="31"/>
      <c r="X12" s="31"/>
      <c r="Y12" s="31"/>
      <c r="Z12" s="31"/>
      <c r="AA12" s="31"/>
      <c r="AB12" s="31" t="s">
        <v>56</v>
      </c>
      <c r="AC12" s="31"/>
      <c r="AD12" s="31"/>
      <c r="AE12" s="31"/>
      <c r="AF12" s="31"/>
    </row>
    <row r="13" spans="1:32" ht="196" x14ac:dyDescent="0.15">
      <c r="A13" s="25" t="s">
        <v>57</v>
      </c>
      <c r="B13" s="25"/>
      <c r="C13" s="32" t="s">
        <v>58</v>
      </c>
      <c r="D13" s="27"/>
      <c r="E13" s="34"/>
      <c r="F13" s="33">
        <v>0</v>
      </c>
      <c r="G13" s="188">
        <v>1</v>
      </c>
      <c r="H13" s="187">
        <v>0</v>
      </c>
      <c r="I13" s="187">
        <v>0</v>
      </c>
      <c r="J13" s="187">
        <v>0</v>
      </c>
      <c r="K13" s="187">
        <v>0</v>
      </c>
      <c r="L13" s="187">
        <v>0</v>
      </c>
      <c r="M13" s="187">
        <v>0</v>
      </c>
      <c r="N13" s="187">
        <v>0</v>
      </c>
      <c r="O13" s="187">
        <v>0</v>
      </c>
      <c r="P13" s="187">
        <v>0</v>
      </c>
      <c r="Q13" s="187">
        <v>0</v>
      </c>
      <c r="R13" s="187">
        <v>0</v>
      </c>
      <c r="S13" s="187">
        <v>0</v>
      </c>
      <c r="T13" s="35" t="s">
        <v>59</v>
      </c>
      <c r="U13" s="35"/>
      <c r="V13" s="35"/>
      <c r="W13" s="35"/>
      <c r="X13" s="35"/>
      <c r="Y13" s="35"/>
      <c r="Z13" s="35"/>
      <c r="AA13" s="35"/>
      <c r="AB13" s="35"/>
      <c r="AC13" s="35"/>
      <c r="AD13" s="35"/>
      <c r="AE13" s="35"/>
      <c r="AF13" s="35"/>
    </row>
    <row r="14" spans="1:32" ht="42" x14ac:dyDescent="0.15">
      <c r="A14" s="25" t="s">
        <v>60</v>
      </c>
      <c r="B14" s="36"/>
      <c r="C14" s="32" t="s">
        <v>61</v>
      </c>
      <c r="D14" s="37"/>
      <c r="E14" s="38" t="s">
        <v>62</v>
      </c>
      <c r="F14" s="33">
        <v>0</v>
      </c>
      <c r="G14" s="187">
        <v>0</v>
      </c>
      <c r="H14" s="187">
        <v>0</v>
      </c>
      <c r="I14" s="187">
        <v>0</v>
      </c>
      <c r="J14" s="187">
        <v>0</v>
      </c>
      <c r="K14" s="187">
        <v>0</v>
      </c>
      <c r="L14" s="187">
        <v>0</v>
      </c>
      <c r="M14" s="187">
        <v>0</v>
      </c>
      <c r="N14" s="187">
        <v>0</v>
      </c>
      <c r="O14" s="187">
        <v>0</v>
      </c>
      <c r="P14" s="187">
        <v>0</v>
      </c>
      <c r="Q14" s="187">
        <v>0</v>
      </c>
      <c r="R14" s="187">
        <v>0</v>
      </c>
      <c r="S14" s="187">
        <v>0</v>
      </c>
      <c r="T14" s="35"/>
      <c r="U14" s="35"/>
      <c r="V14" s="35"/>
      <c r="W14" s="35"/>
      <c r="X14" s="35"/>
      <c r="Y14" s="35"/>
      <c r="Z14" s="35"/>
      <c r="AA14" s="35"/>
      <c r="AB14" s="35"/>
      <c r="AC14" s="35"/>
      <c r="AD14" s="35"/>
      <c r="AE14" s="35"/>
      <c r="AF14" s="35"/>
    </row>
    <row r="15" spans="1:32" ht="48.75" customHeight="1" x14ac:dyDescent="0.15">
      <c r="A15" s="25" t="s">
        <v>63</v>
      </c>
      <c r="B15" s="39"/>
      <c r="C15" s="32" t="s">
        <v>64</v>
      </c>
      <c r="D15" s="40"/>
      <c r="E15" s="28" t="s">
        <v>62</v>
      </c>
      <c r="F15" s="29">
        <v>0.93</v>
      </c>
      <c r="G15" s="184">
        <v>0.9</v>
      </c>
      <c r="H15" s="185">
        <v>0.86</v>
      </c>
      <c r="I15" s="185">
        <v>0.83</v>
      </c>
      <c r="J15" s="185">
        <v>0.87</v>
      </c>
      <c r="K15" s="185">
        <v>0.8</v>
      </c>
      <c r="L15" s="183">
        <v>0.95</v>
      </c>
      <c r="M15" s="183">
        <f>15.76 / 16</f>
        <v>0.98499999999999999</v>
      </c>
      <c r="N15" s="183">
        <v>0.99</v>
      </c>
      <c r="O15" s="183">
        <f>14.7 / 16</f>
        <v>0.91874999999999996</v>
      </c>
      <c r="P15" s="183">
        <v>1</v>
      </c>
      <c r="Q15" s="183">
        <f>13.8 / 14.5</f>
        <v>0.9517241379310345</v>
      </c>
      <c r="R15" s="183">
        <f>14.2/14.5</f>
        <v>0.97931034482758617</v>
      </c>
      <c r="S15" s="183">
        <f>13.5/14.5</f>
        <v>0.93103448275862066</v>
      </c>
      <c r="T15" s="31"/>
      <c r="U15" s="31"/>
      <c r="V15" s="31"/>
      <c r="W15" s="31"/>
      <c r="X15" s="31"/>
      <c r="Y15" s="31"/>
      <c r="Z15" s="31"/>
      <c r="AA15" s="31"/>
      <c r="AB15" s="31"/>
      <c r="AC15" s="31"/>
      <c r="AD15" s="31"/>
      <c r="AE15" s="31"/>
      <c r="AF15" s="31"/>
    </row>
    <row r="16" spans="1:32" x14ac:dyDescent="0.15">
      <c r="A16" s="41"/>
      <c r="B16" s="42"/>
      <c r="C16" s="43"/>
      <c r="D16" s="44"/>
      <c r="E16" s="28"/>
      <c r="F16" s="29"/>
      <c r="G16" s="189"/>
      <c r="H16" s="189"/>
      <c r="I16" s="189"/>
      <c r="J16" s="189"/>
      <c r="K16" s="189"/>
      <c r="L16" s="190"/>
      <c r="M16" s="190"/>
      <c r="N16" s="190"/>
      <c r="O16" s="190"/>
      <c r="P16" s="190"/>
      <c r="Q16" s="190"/>
      <c r="R16" s="190"/>
      <c r="S16" s="190"/>
      <c r="T16" s="35"/>
      <c r="U16" s="35"/>
      <c r="V16" s="35"/>
      <c r="W16" s="35"/>
      <c r="X16" s="35"/>
      <c r="Y16" s="35"/>
      <c r="Z16" s="35"/>
      <c r="AA16" s="35"/>
      <c r="AB16" s="35"/>
      <c r="AC16" s="35"/>
      <c r="AD16" s="35"/>
      <c r="AE16" s="35"/>
      <c r="AF16" s="35"/>
    </row>
    <row r="17" spans="1:32" ht="70" x14ac:dyDescent="0.15">
      <c r="A17" s="25" t="s">
        <v>65</v>
      </c>
      <c r="B17" s="39" t="s">
        <v>66</v>
      </c>
      <c r="C17" s="46" t="s">
        <v>67</v>
      </c>
      <c r="D17" s="47"/>
      <c r="E17" s="48" t="s">
        <v>9</v>
      </c>
      <c r="F17" s="29">
        <v>1</v>
      </c>
      <c r="G17" s="191">
        <f>(2.02+2.02+2.04)/3</f>
        <v>2.0266666666666668</v>
      </c>
      <c r="H17" s="191"/>
      <c r="I17" s="191">
        <f>(1.4+1.4+1.4)/3</f>
        <v>1.3999999999999997</v>
      </c>
      <c r="J17" s="191">
        <f>(1.4+1.58+1.58)/3</f>
        <v>1.5200000000000002</v>
      </c>
      <c r="K17" s="191">
        <f>(1.58+1.58+1.58)/3</f>
        <v>1.58</v>
      </c>
      <c r="L17" s="192">
        <f>(1.55+1.55+1.55)/3</f>
        <v>1.55</v>
      </c>
      <c r="M17" s="192">
        <v>1.5</v>
      </c>
      <c r="N17" s="192">
        <v>1.55</v>
      </c>
      <c r="O17" s="192">
        <v>1.55</v>
      </c>
      <c r="P17" s="192">
        <v>1.26</v>
      </c>
      <c r="Q17" s="192">
        <v>1</v>
      </c>
      <c r="R17" s="192">
        <v>1</v>
      </c>
      <c r="S17" s="192">
        <v>1</v>
      </c>
      <c r="T17" s="35"/>
      <c r="U17" s="35"/>
      <c r="V17" s="35"/>
      <c r="W17" s="35"/>
      <c r="X17" s="35"/>
      <c r="Y17" s="35"/>
      <c r="Z17" s="35"/>
      <c r="AA17" s="35"/>
      <c r="AB17" s="31" t="s">
        <v>48</v>
      </c>
      <c r="AC17" s="31"/>
      <c r="AD17" s="31"/>
      <c r="AE17" s="31"/>
      <c r="AF17" s="31"/>
    </row>
    <row r="18" spans="1:32" ht="238" x14ac:dyDescent="0.15">
      <c r="A18" s="25" t="s">
        <v>68</v>
      </c>
      <c r="B18" s="39" t="s">
        <v>69</v>
      </c>
      <c r="C18" s="49" t="s">
        <v>70</v>
      </c>
      <c r="D18" s="50"/>
      <c r="E18" s="48" t="s">
        <v>9</v>
      </c>
      <c r="F18" s="29">
        <v>1</v>
      </c>
      <c r="G18" s="193">
        <f>(1+1+1)/3</f>
        <v>1</v>
      </c>
      <c r="H18" s="193">
        <f>(1+1+1)/3</f>
        <v>1</v>
      </c>
      <c r="I18" s="193">
        <f>(1+1+1)/3</f>
        <v>1</v>
      </c>
      <c r="J18" s="193">
        <f>(1+1+1)/3</f>
        <v>1</v>
      </c>
      <c r="K18" s="193">
        <f>(1+1+1)/3</f>
        <v>1</v>
      </c>
      <c r="L18" s="184">
        <f>(0.95+0.95+0.95)/3</f>
        <v>0.94999999999999984</v>
      </c>
      <c r="M18" s="183">
        <v>1</v>
      </c>
      <c r="N18" s="184">
        <v>0.95</v>
      </c>
      <c r="O18" s="183">
        <v>1</v>
      </c>
      <c r="P18" s="183">
        <v>1</v>
      </c>
      <c r="Q18" s="183">
        <v>1</v>
      </c>
      <c r="R18" s="192">
        <v>1</v>
      </c>
      <c r="S18" s="192">
        <v>1</v>
      </c>
      <c r="T18" s="51"/>
      <c r="U18" s="51"/>
      <c r="V18" s="51"/>
      <c r="W18" s="51"/>
      <c r="X18" s="51" t="s">
        <v>71</v>
      </c>
      <c r="Y18" s="51"/>
      <c r="Z18" s="51"/>
      <c r="AA18" s="51"/>
      <c r="AB18" s="52" t="s">
        <v>48</v>
      </c>
      <c r="AC18" s="52"/>
      <c r="AD18" s="52"/>
      <c r="AE18" s="52"/>
      <c r="AF18" s="52"/>
    </row>
    <row r="19" spans="1:32" ht="70" x14ac:dyDescent="0.15">
      <c r="A19" s="25" t="s">
        <v>72</v>
      </c>
      <c r="B19" s="39" t="s">
        <v>73</v>
      </c>
      <c r="C19" s="49" t="s">
        <v>74</v>
      </c>
      <c r="D19" s="50"/>
      <c r="E19" s="48" t="s">
        <v>9</v>
      </c>
      <c r="F19" s="29">
        <v>1</v>
      </c>
      <c r="G19" s="193">
        <f>(1+1.12+1)/3</f>
        <v>1.04</v>
      </c>
      <c r="H19" s="193">
        <f>(1+1+1)/3</f>
        <v>1</v>
      </c>
      <c r="I19" s="193">
        <f>(1+1+1)/3</f>
        <v>1</v>
      </c>
      <c r="J19" s="193">
        <f>(0.98+0.98+0.98)/3</f>
        <v>0.98</v>
      </c>
      <c r="K19" s="193">
        <f>(1+1+1)/3</f>
        <v>1</v>
      </c>
      <c r="L19" s="185">
        <f>(0.84+0.84+0.84)/3</f>
        <v>0.84</v>
      </c>
      <c r="M19" s="184">
        <v>0.89</v>
      </c>
      <c r="N19" s="183">
        <v>1</v>
      </c>
      <c r="O19" s="183" t="s">
        <v>75</v>
      </c>
      <c r="P19" s="183" t="s">
        <v>75</v>
      </c>
      <c r="Q19" s="183">
        <v>1</v>
      </c>
      <c r="R19" s="192">
        <v>1</v>
      </c>
      <c r="S19" s="192">
        <v>1</v>
      </c>
      <c r="T19" s="31"/>
      <c r="U19" s="31"/>
      <c r="V19" s="31"/>
      <c r="W19" s="31"/>
      <c r="X19" s="31" t="s">
        <v>76</v>
      </c>
      <c r="Y19" s="31"/>
      <c r="Z19" s="31"/>
      <c r="AA19" s="31"/>
      <c r="AB19" s="52" t="s">
        <v>48</v>
      </c>
      <c r="AC19" s="52"/>
      <c r="AD19" s="52"/>
      <c r="AE19" s="52"/>
      <c r="AF19" s="52"/>
    </row>
    <row r="20" spans="1:32" ht="70" x14ac:dyDescent="0.15">
      <c r="A20" s="25" t="s">
        <v>77</v>
      </c>
      <c r="B20" s="39" t="s">
        <v>78</v>
      </c>
      <c r="C20" s="49" t="s">
        <v>79</v>
      </c>
      <c r="D20" s="50"/>
      <c r="E20" s="48" t="s">
        <v>9</v>
      </c>
      <c r="F20" s="29">
        <v>1</v>
      </c>
      <c r="G20" s="183">
        <f>(1.09+1.09+1.23)/3</f>
        <v>1.1366666666666667</v>
      </c>
      <c r="H20" s="183"/>
      <c r="I20" s="183">
        <f>(1.15+1.15+1.15)/3</f>
        <v>1.1499999999999999</v>
      </c>
      <c r="J20" s="183">
        <f>(1.16+1.14+1.15)/3</f>
        <v>1.1499999999999999</v>
      </c>
      <c r="K20" s="193">
        <f>(1.14+1.13+1.1)/3</f>
        <v>1.1233333333333333</v>
      </c>
      <c r="L20" s="184">
        <f>(0.97+0.97+0.95)/3</f>
        <v>0.96333333333333326</v>
      </c>
      <c r="M20" s="183">
        <v>1.1599999999999999</v>
      </c>
      <c r="N20" s="184">
        <v>0.98</v>
      </c>
      <c r="O20" s="183" t="s">
        <v>47</v>
      </c>
      <c r="P20" s="183">
        <v>1.07</v>
      </c>
      <c r="Q20" s="183">
        <v>1</v>
      </c>
      <c r="R20" s="192">
        <v>1</v>
      </c>
      <c r="S20" s="192">
        <v>1</v>
      </c>
      <c r="T20" s="31"/>
      <c r="U20" s="31"/>
      <c r="V20" s="31"/>
      <c r="W20" s="31"/>
      <c r="X20" s="31" t="s">
        <v>80</v>
      </c>
      <c r="Y20" s="31"/>
      <c r="Z20" s="31"/>
      <c r="AA20" s="31"/>
      <c r="AB20" s="52" t="s">
        <v>48</v>
      </c>
      <c r="AC20" s="52"/>
      <c r="AD20" s="52"/>
      <c r="AE20" s="52"/>
      <c r="AF20" s="52"/>
    </row>
    <row r="21" spans="1:32" ht="28" x14ac:dyDescent="0.15">
      <c r="A21" s="25" t="s">
        <v>81</v>
      </c>
      <c r="B21" s="39" t="s">
        <v>82</v>
      </c>
      <c r="C21" s="49" t="s">
        <v>83</v>
      </c>
      <c r="D21" s="50"/>
      <c r="E21" s="28" t="s">
        <v>84</v>
      </c>
      <c r="F21" s="53">
        <v>2</v>
      </c>
      <c r="G21" s="194">
        <f>(0+0+0)/3</f>
        <v>0</v>
      </c>
      <c r="H21" s="194">
        <f>(0+0+0)/3</f>
        <v>0</v>
      </c>
      <c r="I21" s="194">
        <f>(0+0+1)/3</f>
        <v>0.33333333333333331</v>
      </c>
      <c r="J21" s="194">
        <f>(1+0+0)/3</f>
        <v>0.33333333333333331</v>
      </c>
      <c r="K21" s="194">
        <f>(1+0+0)/3</f>
        <v>0.33333333333333331</v>
      </c>
      <c r="L21" s="195">
        <f>(1+0+0)/3</f>
        <v>0.33333333333333331</v>
      </c>
      <c r="M21" s="195">
        <v>0.33</v>
      </c>
      <c r="N21" s="195">
        <v>0</v>
      </c>
      <c r="O21" s="195">
        <v>0</v>
      </c>
      <c r="P21" s="195">
        <v>0</v>
      </c>
      <c r="Q21" s="195">
        <v>0</v>
      </c>
      <c r="R21" s="195">
        <v>0</v>
      </c>
      <c r="S21" s="195">
        <v>0</v>
      </c>
      <c r="T21" s="54"/>
      <c r="U21" s="54"/>
      <c r="V21" s="54"/>
      <c r="W21" s="54"/>
      <c r="X21" s="54"/>
      <c r="Y21" s="54"/>
      <c r="Z21" s="54"/>
      <c r="AA21" s="54"/>
      <c r="AB21" s="54"/>
      <c r="AC21" s="54"/>
      <c r="AD21" s="54"/>
      <c r="AE21" s="54"/>
      <c r="AF21" s="54"/>
    </row>
    <row r="22" spans="1:32" ht="78" customHeight="1" x14ac:dyDescent="0.15">
      <c r="A22" s="25" t="s">
        <v>85</v>
      </c>
      <c r="B22" s="39" t="s">
        <v>86</v>
      </c>
      <c r="C22" s="49" t="s">
        <v>87</v>
      </c>
      <c r="D22" s="50"/>
      <c r="E22" s="28" t="s">
        <v>84</v>
      </c>
      <c r="F22" s="29">
        <v>0.01</v>
      </c>
      <c r="G22" s="196">
        <f>(0.0032+0.0032+0.0023)/3</f>
        <v>2.8999999999999998E-3</v>
      </c>
      <c r="H22" s="196">
        <f>(0.0035+0.0032+0.0023)/3</f>
        <v>3.0000000000000005E-3</v>
      </c>
      <c r="I22" s="196">
        <f>(0.0003+0.0015+0.0028)/3</f>
        <v>1.5333333333333334E-3</v>
      </c>
      <c r="J22" s="196">
        <f>(0.0037+0.0026+0.0014)/3</f>
        <v>2.5666666666666667E-3</v>
      </c>
      <c r="K22" s="196">
        <f>(0.0104+0.0007+0.0002)/3</f>
        <v>3.7666666666666664E-3</v>
      </c>
      <c r="L22" s="197">
        <f>(0.0012+0.0014+0.0052)/3</f>
        <v>2.5999999999999999E-3</v>
      </c>
      <c r="M22" s="197">
        <v>4.1000000000000003E-3</v>
      </c>
      <c r="N22" s="197" t="s">
        <v>88</v>
      </c>
      <c r="O22" s="197" t="s">
        <v>88</v>
      </c>
      <c r="P22" s="197" t="s">
        <v>88</v>
      </c>
      <c r="Q22" s="197" t="s">
        <v>89</v>
      </c>
      <c r="R22" s="197" t="s">
        <v>88</v>
      </c>
      <c r="S22" s="197" t="s">
        <v>88</v>
      </c>
      <c r="T22" s="35"/>
      <c r="U22" s="35"/>
      <c r="V22" s="35"/>
      <c r="W22" s="35"/>
      <c r="X22" s="35"/>
      <c r="Y22" s="35"/>
      <c r="Z22" s="35"/>
      <c r="AA22" s="35" t="s">
        <v>90</v>
      </c>
      <c r="AB22" s="35"/>
      <c r="AC22" s="35"/>
      <c r="AD22" s="35"/>
      <c r="AE22" s="35"/>
      <c r="AF22" s="35"/>
    </row>
    <row r="23" spans="1:32" ht="28" x14ac:dyDescent="0.15">
      <c r="A23" s="25" t="s">
        <v>45</v>
      </c>
      <c r="B23" s="39" t="s">
        <v>91</v>
      </c>
      <c r="C23" s="49" t="s">
        <v>92</v>
      </c>
      <c r="D23" s="50"/>
      <c r="E23" s="28" t="s">
        <v>93</v>
      </c>
      <c r="F23" s="33">
        <v>1</v>
      </c>
      <c r="G23" s="194">
        <f>(0+0+0)/3</f>
        <v>0</v>
      </c>
      <c r="H23" s="194">
        <f>(0+0+0)/3</f>
        <v>0</v>
      </c>
      <c r="I23" s="194">
        <f>(0+1+0)/3</f>
        <v>0.33333333333333331</v>
      </c>
      <c r="J23" s="194">
        <f>(0+0+0)/3</f>
        <v>0</v>
      </c>
      <c r="K23" s="195">
        <f>(0+0+0)/3</f>
        <v>0</v>
      </c>
      <c r="L23" s="195">
        <f>(0+0+0)/3</f>
        <v>0</v>
      </c>
      <c r="M23" s="195">
        <v>0.33</v>
      </c>
      <c r="N23" s="195">
        <v>0</v>
      </c>
      <c r="O23" s="195">
        <v>1</v>
      </c>
      <c r="P23" s="195">
        <v>1</v>
      </c>
      <c r="Q23" s="195">
        <v>0</v>
      </c>
      <c r="R23" s="197">
        <v>0</v>
      </c>
      <c r="S23" s="197">
        <v>0</v>
      </c>
      <c r="T23" s="55"/>
      <c r="U23" s="55"/>
      <c r="V23" s="55"/>
      <c r="W23" s="55"/>
      <c r="X23" s="55"/>
      <c r="Y23" s="55"/>
      <c r="Z23" s="55" t="s">
        <v>94</v>
      </c>
      <c r="AA23" s="55"/>
      <c r="AB23" s="55"/>
      <c r="AC23" s="55"/>
      <c r="AD23" s="55"/>
      <c r="AE23" s="55"/>
      <c r="AF23" s="55"/>
    </row>
    <row r="24" spans="1:32" ht="409.6" x14ac:dyDescent="0.15">
      <c r="A24" s="25" t="s">
        <v>66</v>
      </c>
      <c r="B24" s="56" t="s">
        <v>95</v>
      </c>
      <c r="C24" s="49" t="s">
        <v>96</v>
      </c>
      <c r="D24" s="50" t="s">
        <v>97</v>
      </c>
      <c r="E24" s="28" t="s">
        <v>98</v>
      </c>
      <c r="F24" s="29">
        <v>0.99</v>
      </c>
      <c r="G24" s="198">
        <f>(0.98+0.84+0.95)/3</f>
        <v>0.92333333333333323</v>
      </c>
      <c r="H24" s="198">
        <f>(0.89+0.9+0.98)/3</f>
        <v>0.92333333333333334</v>
      </c>
      <c r="I24" s="199">
        <f>(0.95+0.99+1)/3</f>
        <v>0.98</v>
      </c>
      <c r="J24" s="200">
        <f>(1+0.99+0.99)/3</f>
        <v>0.99333333333333329</v>
      </c>
      <c r="K24" s="199">
        <f>(0.92+1+0.99)/3</f>
        <v>0.97000000000000008</v>
      </c>
      <c r="L24" s="200">
        <f>(0.99+0.99+1)/3</f>
        <v>0.99333333333333329</v>
      </c>
      <c r="M24" s="200">
        <v>1</v>
      </c>
      <c r="N24" s="200">
        <v>0.99299999999999999</v>
      </c>
      <c r="O24" s="199">
        <v>0.98299999999999998</v>
      </c>
      <c r="P24" s="200" t="s">
        <v>99</v>
      </c>
      <c r="Q24" s="200">
        <v>1</v>
      </c>
      <c r="R24" s="196">
        <v>0.99299999999999999</v>
      </c>
      <c r="S24" s="196">
        <v>0.99660000000000004</v>
      </c>
      <c r="T24" s="57" t="s">
        <v>100</v>
      </c>
      <c r="U24" s="58" t="s">
        <v>101</v>
      </c>
      <c r="V24" s="58" t="s">
        <v>102</v>
      </c>
      <c r="W24" s="58"/>
      <c r="X24" s="58" t="s">
        <v>103</v>
      </c>
      <c r="Y24" s="58"/>
      <c r="Z24" s="58"/>
      <c r="AA24" s="58"/>
      <c r="AB24" s="58"/>
      <c r="AC24" s="58"/>
      <c r="AD24" s="58"/>
      <c r="AE24" s="58"/>
      <c r="AF24" s="58"/>
    </row>
    <row r="25" spans="1:32" ht="182" x14ac:dyDescent="0.15">
      <c r="A25" s="25" t="s">
        <v>69</v>
      </c>
      <c r="B25" s="56" t="s">
        <v>104</v>
      </c>
      <c r="C25" s="49" t="s">
        <v>105</v>
      </c>
      <c r="D25" s="50" t="s">
        <v>97</v>
      </c>
      <c r="E25" s="28" t="s">
        <v>98</v>
      </c>
      <c r="F25" s="29">
        <v>0.99</v>
      </c>
      <c r="G25" s="201">
        <f>(0.87+1+1)/3</f>
        <v>0.95666666666666667</v>
      </c>
      <c r="H25" s="193">
        <f>(1+1+1)/3</f>
        <v>1</v>
      </c>
      <c r="I25" s="193">
        <f>(1+1+1)/3</f>
        <v>1</v>
      </c>
      <c r="J25" s="193">
        <f>(1+1+1)/3</f>
        <v>1</v>
      </c>
      <c r="K25" s="193">
        <f>(1+0.99+1)/3</f>
        <v>0.9966666666666667</v>
      </c>
      <c r="L25" s="193">
        <f>(1+0.99+1)/3</f>
        <v>0.9966666666666667</v>
      </c>
      <c r="M25" s="193">
        <v>1</v>
      </c>
      <c r="N25" s="193" t="s">
        <v>75</v>
      </c>
      <c r="O25" s="193">
        <v>0.99</v>
      </c>
      <c r="P25" s="193" t="s">
        <v>99</v>
      </c>
      <c r="Q25" s="202">
        <v>0.98070000000000002</v>
      </c>
      <c r="R25" s="278" t="s">
        <v>75</v>
      </c>
      <c r="S25" s="278">
        <v>1</v>
      </c>
      <c r="T25" s="57" t="s">
        <v>106</v>
      </c>
      <c r="U25" s="57"/>
      <c r="V25" s="57"/>
      <c r="W25" s="57"/>
      <c r="X25" s="57"/>
      <c r="Y25" s="57"/>
      <c r="Z25" s="57"/>
      <c r="AA25" s="57"/>
      <c r="AB25" s="57"/>
      <c r="AC25" s="57"/>
      <c r="AD25" s="57"/>
      <c r="AE25" s="57"/>
      <c r="AF25" s="57"/>
    </row>
    <row r="26" spans="1:32" ht="158.25" customHeight="1" x14ac:dyDescent="0.15">
      <c r="A26" s="25" t="s">
        <v>107</v>
      </c>
      <c r="B26" s="56" t="s">
        <v>108</v>
      </c>
      <c r="C26" s="49" t="s">
        <v>109</v>
      </c>
      <c r="D26" s="50" t="s">
        <v>97</v>
      </c>
      <c r="E26" s="28" t="s">
        <v>98</v>
      </c>
      <c r="F26" s="29">
        <v>0.99</v>
      </c>
      <c r="G26" s="202">
        <f>(1+0.97+0.96)/3</f>
        <v>0.97666666666666657</v>
      </c>
      <c r="H26" s="201">
        <f>(0.9+0.84+0.95)/3</f>
        <v>0.89666666666666661</v>
      </c>
      <c r="I26" s="201">
        <f>(0.91+0.95+0.96)/3</f>
        <v>0.94</v>
      </c>
      <c r="J26" s="202">
        <f>(0.96+0.99+0.99)/3</f>
        <v>0.98</v>
      </c>
      <c r="K26" s="193">
        <f>(1+1+0.98)/3</f>
        <v>0.99333333333333329</v>
      </c>
      <c r="L26" s="202">
        <f>(0.98+0.99+0.97)/3</f>
        <v>0.98</v>
      </c>
      <c r="M26" s="201">
        <v>0.92</v>
      </c>
      <c r="N26" s="202">
        <v>0.97299999999999998</v>
      </c>
      <c r="O26" s="202">
        <v>0.97299999999999998</v>
      </c>
      <c r="P26" s="202">
        <v>0.97299999999999998</v>
      </c>
      <c r="Q26" s="193">
        <v>0.98719999999999997</v>
      </c>
      <c r="R26" s="196">
        <v>0.97</v>
      </c>
      <c r="S26" s="196">
        <v>0.99719999999999998</v>
      </c>
      <c r="T26" s="59" t="s">
        <v>110</v>
      </c>
      <c r="U26" s="59" t="s">
        <v>111</v>
      </c>
      <c r="V26" s="59" t="s">
        <v>112</v>
      </c>
      <c r="W26" s="59" t="s">
        <v>113</v>
      </c>
      <c r="X26" s="59"/>
      <c r="Y26" s="59"/>
      <c r="Z26" s="59"/>
      <c r="AA26" s="59"/>
      <c r="AB26" s="59"/>
      <c r="AC26" s="59"/>
      <c r="AD26" s="59"/>
      <c r="AE26" s="59"/>
      <c r="AF26" s="59"/>
    </row>
    <row r="27" spans="1:32" ht="371" x14ac:dyDescent="0.15">
      <c r="A27" s="25" t="s">
        <v>114</v>
      </c>
      <c r="B27" s="56" t="s">
        <v>115</v>
      </c>
      <c r="C27" s="49" t="s">
        <v>116</v>
      </c>
      <c r="D27" s="50" t="s">
        <v>97</v>
      </c>
      <c r="E27" s="28" t="s">
        <v>98</v>
      </c>
      <c r="F27" s="29">
        <v>0.99</v>
      </c>
      <c r="G27" s="202">
        <f>(0.97+0.98+0.97)/3</f>
        <v>0.97333333333333327</v>
      </c>
      <c r="H27" s="202">
        <f>(0.92+0.99+1)/3</f>
        <v>0.97000000000000008</v>
      </c>
      <c r="I27" s="201">
        <f>(0.99+1+0.88)/3</f>
        <v>0.95666666666666667</v>
      </c>
      <c r="J27" s="193">
        <f>(1+1+1)/3</f>
        <v>1</v>
      </c>
      <c r="K27" s="193">
        <f>(1+1+1)/3</f>
        <v>1</v>
      </c>
      <c r="L27" s="193">
        <f>(1+1+1)/3</f>
        <v>1</v>
      </c>
      <c r="M27" s="193">
        <f>(1+1+1)/3</f>
        <v>1</v>
      </c>
      <c r="N27" s="193">
        <v>1</v>
      </c>
      <c r="O27" s="193">
        <v>1</v>
      </c>
      <c r="P27" s="193">
        <v>1</v>
      </c>
      <c r="Q27" s="193">
        <v>0.99919999999999998</v>
      </c>
      <c r="R27" s="196">
        <v>1</v>
      </c>
      <c r="S27" s="196">
        <v>1</v>
      </c>
      <c r="T27" s="57" t="s">
        <v>117</v>
      </c>
      <c r="U27" s="57" t="s">
        <v>118</v>
      </c>
      <c r="V27" s="57" t="s">
        <v>119</v>
      </c>
      <c r="W27" s="57"/>
      <c r="X27" s="57"/>
      <c r="Y27" s="57"/>
      <c r="Z27" s="57"/>
      <c r="AA27" s="57"/>
      <c r="AB27" s="57"/>
      <c r="AC27" s="57"/>
      <c r="AD27" s="57"/>
      <c r="AE27" s="57"/>
      <c r="AF27" s="57"/>
    </row>
    <row r="28" spans="1:32" ht="14" x14ac:dyDescent="0.15">
      <c r="A28" s="25" t="s">
        <v>120</v>
      </c>
      <c r="B28" s="56" t="s">
        <v>121</v>
      </c>
      <c r="C28" s="49" t="s">
        <v>122</v>
      </c>
      <c r="D28" s="50"/>
      <c r="E28" s="28" t="s">
        <v>93</v>
      </c>
      <c r="F28" s="29">
        <v>0.99</v>
      </c>
      <c r="G28" s="193">
        <f>(1+1+1)/3</f>
        <v>1</v>
      </c>
      <c r="H28" s="193">
        <f>(1+1+1)/3</f>
        <v>1</v>
      </c>
      <c r="I28" s="193">
        <f>(1+0.9916+1)/3</f>
        <v>0.99719999999999998</v>
      </c>
      <c r="J28" s="193">
        <f>(1+0.9916+1)/3</f>
        <v>0.99719999999999998</v>
      </c>
      <c r="K28" s="193">
        <f>(0.9984+1+1)/3</f>
        <v>0.99946666666666673</v>
      </c>
      <c r="L28" s="193">
        <f>(0.9986+1+1)/3</f>
        <v>0.99953333333333338</v>
      </c>
      <c r="M28" s="193">
        <v>1</v>
      </c>
      <c r="N28" s="193" t="s">
        <v>75</v>
      </c>
      <c r="O28" s="193">
        <v>0.96</v>
      </c>
      <c r="P28" s="193">
        <v>0.96</v>
      </c>
      <c r="Q28" s="193">
        <v>1</v>
      </c>
      <c r="R28" s="193">
        <v>1</v>
      </c>
      <c r="S28" s="193">
        <v>1</v>
      </c>
      <c r="T28" s="60"/>
      <c r="U28" s="60"/>
      <c r="V28" s="60"/>
      <c r="W28" s="60"/>
      <c r="X28" s="60"/>
      <c r="Y28" s="60"/>
      <c r="Z28" s="60"/>
      <c r="AA28" s="60"/>
      <c r="AB28" s="60"/>
      <c r="AC28" s="60"/>
      <c r="AD28" s="60"/>
      <c r="AE28" s="60"/>
      <c r="AF28" s="60"/>
    </row>
    <row r="29" spans="1:32" x14ac:dyDescent="0.15">
      <c r="A29" s="61"/>
      <c r="B29" s="62"/>
      <c r="C29" s="63"/>
      <c r="D29" s="64"/>
      <c r="E29" s="38"/>
      <c r="F29" s="45"/>
      <c r="G29" s="189"/>
      <c r="H29" s="189"/>
      <c r="I29" s="189"/>
      <c r="J29" s="189"/>
      <c r="K29" s="189"/>
      <c r="L29" s="189"/>
      <c r="M29" s="189"/>
      <c r="N29" s="189"/>
      <c r="O29" s="189"/>
      <c r="P29" s="189"/>
      <c r="Q29" s="189"/>
      <c r="R29" s="189"/>
      <c r="S29" s="189"/>
      <c r="T29" s="60"/>
      <c r="U29" s="60"/>
      <c r="V29" s="60"/>
      <c r="W29" s="60"/>
      <c r="X29" s="60"/>
      <c r="Y29" s="60"/>
      <c r="Z29" s="60"/>
      <c r="AA29" s="60"/>
      <c r="AB29" s="60"/>
      <c r="AC29" s="60"/>
      <c r="AD29" s="60"/>
      <c r="AE29" s="60"/>
      <c r="AF29" s="60"/>
    </row>
    <row r="30" spans="1:32" ht="55.5" customHeight="1" x14ac:dyDescent="0.15">
      <c r="A30" s="25" t="s">
        <v>123</v>
      </c>
      <c r="B30" s="39" t="s">
        <v>68</v>
      </c>
      <c r="C30" s="26" t="s">
        <v>124</v>
      </c>
      <c r="D30" s="50"/>
      <c r="E30" s="28" t="s">
        <v>9</v>
      </c>
      <c r="F30" s="29">
        <v>0.97</v>
      </c>
      <c r="G30" s="200">
        <f>(0.99+1+1)/3</f>
        <v>0.9966666666666667</v>
      </c>
      <c r="H30" s="200">
        <f>(0.98+0.98+1)/3</f>
        <v>0.98666666666666669</v>
      </c>
      <c r="I30" s="200">
        <f>(0.992+0.996+0.999)/3</f>
        <v>0.9956666666666667</v>
      </c>
      <c r="J30" s="200">
        <f>(1+0.995+0.998)/3</f>
        <v>0.99766666666666681</v>
      </c>
      <c r="K30" s="200">
        <f>(0.985+1+0.992)/3</f>
        <v>0.99233333333333329</v>
      </c>
      <c r="L30" s="198">
        <f>(0.99+0.69+0.847)/3</f>
        <v>0.84233333333333338</v>
      </c>
      <c r="M30" s="193">
        <f>(0.99+1+0.996)/3</f>
        <v>0.99533333333333329</v>
      </c>
      <c r="N30" s="193" t="s">
        <v>125</v>
      </c>
      <c r="O30" s="193"/>
      <c r="P30" s="193"/>
      <c r="Q30" s="193"/>
      <c r="R30" s="193"/>
      <c r="S30" s="193"/>
      <c r="T30" s="57"/>
      <c r="U30" s="57"/>
      <c r="V30" s="57"/>
      <c r="W30" s="57"/>
      <c r="X30" s="57" t="s">
        <v>126</v>
      </c>
      <c r="Y30" s="57"/>
      <c r="Z30" s="57"/>
      <c r="AA30" s="57"/>
      <c r="AB30" s="57"/>
      <c r="AC30" s="57"/>
      <c r="AD30" s="57"/>
      <c r="AE30" s="57"/>
      <c r="AF30" s="57"/>
    </row>
    <row r="31" spans="1:32" ht="31.5" customHeight="1" x14ac:dyDescent="0.15">
      <c r="A31" s="25" t="s">
        <v>127</v>
      </c>
      <c r="B31" s="39" t="s">
        <v>114</v>
      </c>
      <c r="C31" s="65" t="s">
        <v>128</v>
      </c>
      <c r="D31" s="50"/>
      <c r="E31" s="28" t="s">
        <v>9</v>
      </c>
      <c r="F31" s="29">
        <v>0.97</v>
      </c>
      <c r="G31" s="201">
        <f>(0.87+1+1)/3</f>
        <v>0.95666666666666667</v>
      </c>
      <c r="H31" s="193">
        <f>(1+1+1)/3</f>
        <v>1</v>
      </c>
      <c r="I31" s="193">
        <f>(1+1+1)/3</f>
        <v>1</v>
      </c>
      <c r="J31" s="193">
        <f>(1+1+1)/3</f>
        <v>1</v>
      </c>
      <c r="K31" s="193">
        <f>(1+0.99+1)/3</f>
        <v>0.9966666666666667</v>
      </c>
      <c r="L31" s="193">
        <f>(0.99+1+1)/3</f>
        <v>0.9966666666666667</v>
      </c>
      <c r="M31" s="193">
        <v>1</v>
      </c>
      <c r="N31" s="193">
        <v>0.98699999999999999</v>
      </c>
      <c r="O31" s="193">
        <v>0.99</v>
      </c>
      <c r="P31" s="193">
        <v>0.98699999999999999</v>
      </c>
      <c r="Q31" s="193">
        <v>0.99</v>
      </c>
      <c r="R31" s="193">
        <v>0.99</v>
      </c>
      <c r="S31" s="193">
        <v>0.99299999999999999</v>
      </c>
      <c r="T31" s="57" t="s">
        <v>129</v>
      </c>
      <c r="U31" s="57"/>
      <c r="V31" s="57"/>
      <c r="W31" s="57"/>
      <c r="X31" s="57"/>
      <c r="Y31" s="57"/>
      <c r="Z31" s="57"/>
      <c r="AA31" s="57"/>
      <c r="AB31" s="57"/>
      <c r="AC31" s="57"/>
      <c r="AD31" s="57"/>
      <c r="AE31" s="57"/>
      <c r="AF31" s="57"/>
    </row>
    <row r="32" spans="1:32" ht="56" x14ac:dyDescent="0.15">
      <c r="A32" s="25" t="s">
        <v>130</v>
      </c>
      <c r="B32" s="39" t="s">
        <v>120</v>
      </c>
      <c r="C32" s="32" t="s">
        <v>131</v>
      </c>
      <c r="D32" s="50"/>
      <c r="E32" s="28" t="s">
        <v>9</v>
      </c>
      <c r="F32" s="29">
        <v>0.97</v>
      </c>
      <c r="G32" s="198">
        <f>(0.98+0.84+0.95)/3</f>
        <v>0.92333333333333323</v>
      </c>
      <c r="H32" s="198">
        <f>(0.89+0.9+0.98)/3</f>
        <v>0.92333333333333334</v>
      </c>
      <c r="I32" s="193">
        <f>(0.95+0.99+1)/3</f>
        <v>0.98</v>
      </c>
      <c r="J32" s="193">
        <f>(1+0.99+0.99)/3</f>
        <v>0.99333333333333329</v>
      </c>
      <c r="K32" s="202">
        <f>(0.92+1+0.99)/3</f>
        <v>0.97000000000000008</v>
      </c>
      <c r="L32" s="193">
        <f>(0.99+0.99+1)/3</f>
        <v>0.99333333333333329</v>
      </c>
      <c r="M32" s="193">
        <f>(0.99+1+1)/3</f>
        <v>0.9966666666666667</v>
      </c>
      <c r="N32" s="193">
        <v>0.99299999999999999</v>
      </c>
      <c r="O32" s="193">
        <v>0.99299999999999999</v>
      </c>
      <c r="P32" s="193">
        <v>0.98699999999999999</v>
      </c>
      <c r="Q32" s="193">
        <v>0.99</v>
      </c>
      <c r="R32" s="193">
        <v>0.98</v>
      </c>
      <c r="S32" s="193">
        <v>1</v>
      </c>
      <c r="T32" s="57" t="s">
        <v>132</v>
      </c>
      <c r="U32" s="57" t="s">
        <v>132</v>
      </c>
      <c r="V32" s="57" t="s">
        <v>132</v>
      </c>
      <c r="W32" s="57"/>
      <c r="X32" s="57" t="s">
        <v>132</v>
      </c>
      <c r="Y32" s="57"/>
      <c r="Z32" s="57"/>
      <c r="AA32" s="57"/>
      <c r="AB32" s="57"/>
      <c r="AC32" s="57"/>
      <c r="AD32" s="57"/>
      <c r="AE32" s="57"/>
      <c r="AF32" s="57"/>
    </row>
    <row r="33" spans="1:1024" ht="345" x14ac:dyDescent="0.15">
      <c r="A33" s="25" t="s">
        <v>133</v>
      </c>
      <c r="B33" s="39" t="s">
        <v>134</v>
      </c>
      <c r="C33" s="32" t="s">
        <v>135</v>
      </c>
      <c r="D33" s="27"/>
      <c r="E33" s="28" t="s">
        <v>9</v>
      </c>
      <c r="F33" s="29">
        <v>0.97</v>
      </c>
      <c r="G33" s="193">
        <f>(1+0.97+0.96)/3</f>
        <v>0.97666666666666657</v>
      </c>
      <c r="H33" s="201">
        <f>(0.9+0.84+0.95)/3</f>
        <v>0.89666666666666661</v>
      </c>
      <c r="I33" s="201">
        <f>(0.91+0.95+0.96)/3</f>
        <v>0.94</v>
      </c>
      <c r="J33" s="193">
        <f>(0.96+0.99+0.99)/3</f>
        <v>0.98</v>
      </c>
      <c r="K33" s="193">
        <f>(1+1+0.98)/3</f>
        <v>0.99333333333333329</v>
      </c>
      <c r="L33" s="193">
        <f>(0.98+0.99+0.97)/3</f>
        <v>0.98</v>
      </c>
      <c r="M33" s="201">
        <f>(0.97+0.79+0.99)/3</f>
        <v>0.91666666666666663</v>
      </c>
      <c r="N33" s="193">
        <v>0.97299999999999998</v>
      </c>
      <c r="O33" s="193">
        <v>0.97299999999999998</v>
      </c>
      <c r="P33" s="202">
        <v>0.96299999999999997</v>
      </c>
      <c r="Q33" s="202">
        <v>0.97</v>
      </c>
      <c r="R33" s="202">
        <v>0.98</v>
      </c>
      <c r="S33" s="203">
        <v>0.99299999999999999</v>
      </c>
      <c r="T33" s="57" t="s">
        <v>136</v>
      </c>
      <c r="U33" s="57" t="s">
        <v>137</v>
      </c>
      <c r="V33" s="57" t="s">
        <v>137</v>
      </c>
      <c r="W33" s="57" t="s">
        <v>137</v>
      </c>
      <c r="X33" s="57"/>
      <c r="Y33" s="57"/>
      <c r="Z33" s="57"/>
      <c r="AA33" s="57"/>
      <c r="AB33" s="57"/>
      <c r="AC33" s="57"/>
      <c r="AD33" s="57"/>
      <c r="AE33" s="57"/>
      <c r="AF33" s="57"/>
    </row>
    <row r="34" spans="1:1024" ht="56" x14ac:dyDescent="0.15">
      <c r="A34" s="25" t="s">
        <v>138</v>
      </c>
      <c r="B34" s="56" t="s">
        <v>139</v>
      </c>
      <c r="C34" s="32" t="s">
        <v>140</v>
      </c>
      <c r="D34" s="27"/>
      <c r="E34" s="28" t="s">
        <v>9</v>
      </c>
      <c r="F34" s="29">
        <v>0.97</v>
      </c>
      <c r="G34" s="193">
        <f>(0.97+0.98+0.97)/3</f>
        <v>0.97333333333333327</v>
      </c>
      <c r="H34" s="193">
        <f>(0.92+0.99+1)/3</f>
        <v>0.97000000000000008</v>
      </c>
      <c r="I34" s="202">
        <f>(0.99+1+0.88)/3</f>
        <v>0.95666666666666667</v>
      </c>
      <c r="J34" s="193">
        <f>(1+1+1)/3</f>
        <v>1</v>
      </c>
      <c r="K34" s="193">
        <f>(1+1+1)/3</f>
        <v>1</v>
      </c>
      <c r="L34" s="193">
        <f>(1+1+1)/3</f>
        <v>1</v>
      </c>
      <c r="M34" s="193">
        <v>1</v>
      </c>
      <c r="N34" s="193">
        <v>1</v>
      </c>
      <c r="O34" s="193">
        <v>0.98599999999999999</v>
      </c>
      <c r="P34" s="193">
        <v>0.98599999999999999</v>
      </c>
      <c r="Q34" s="193">
        <v>0.97</v>
      </c>
      <c r="R34" s="193">
        <v>0.99</v>
      </c>
      <c r="S34" s="193">
        <v>1</v>
      </c>
      <c r="T34" s="57" t="s">
        <v>141</v>
      </c>
      <c r="U34" s="57" t="s">
        <v>142</v>
      </c>
      <c r="V34" s="57" t="s">
        <v>142</v>
      </c>
      <c r="W34" s="57"/>
      <c r="X34" s="57"/>
      <c r="Y34" s="57"/>
      <c r="Z34" s="57"/>
      <c r="AA34" s="57"/>
      <c r="AB34" s="57"/>
      <c r="AC34" s="57"/>
      <c r="AD34" s="57"/>
      <c r="AE34" s="57"/>
      <c r="AF34" s="57"/>
    </row>
    <row r="35" spans="1:1024" ht="28" x14ac:dyDescent="0.15">
      <c r="A35" s="25" t="s">
        <v>143</v>
      </c>
      <c r="B35" s="56" t="s">
        <v>144</v>
      </c>
      <c r="C35" s="32" t="s">
        <v>145</v>
      </c>
      <c r="D35" s="27"/>
      <c r="E35" s="28" t="s">
        <v>9</v>
      </c>
      <c r="F35" s="29">
        <v>0.95</v>
      </c>
      <c r="G35" s="193">
        <f>((1+1+1)*42+(168-42)*(1+1+1))/(168*3)</f>
        <v>1</v>
      </c>
      <c r="H35" s="193">
        <f>(1+1+1)/3</f>
        <v>1</v>
      </c>
      <c r="I35" s="193">
        <f>(1+1+1)/3</f>
        <v>1</v>
      </c>
      <c r="J35" s="193">
        <f>((1+1+1)*42+(168-42)*(1+1+1))/(168*3)</f>
        <v>1</v>
      </c>
      <c r="K35" s="193">
        <f>((1+1+1)*42+(168-42)*(1+1+1))/(168*3)</f>
        <v>1</v>
      </c>
      <c r="L35" s="193">
        <f>((1+1+1)*42+(168-42)*(1+1+1))/(168*3)</f>
        <v>1</v>
      </c>
      <c r="M35" s="193">
        <v>1</v>
      </c>
      <c r="N35" s="193">
        <v>1</v>
      </c>
      <c r="O35" s="193">
        <v>1</v>
      </c>
      <c r="P35" s="193">
        <v>1</v>
      </c>
      <c r="Q35" s="193">
        <v>1</v>
      </c>
      <c r="R35" s="193">
        <v>1</v>
      </c>
      <c r="S35" s="193">
        <v>1</v>
      </c>
      <c r="T35" s="57"/>
      <c r="U35" s="57"/>
      <c r="V35" s="57"/>
      <c r="W35" s="57"/>
      <c r="X35" s="57"/>
      <c r="Y35" s="57"/>
      <c r="Z35" s="57"/>
      <c r="AA35" s="57"/>
      <c r="AB35" s="57"/>
      <c r="AC35" s="57"/>
      <c r="AD35" s="57"/>
      <c r="AE35" s="57"/>
      <c r="AF35" s="57"/>
    </row>
    <row r="36" spans="1:1024" ht="28" x14ac:dyDescent="0.15">
      <c r="A36" s="25" t="s">
        <v>146</v>
      </c>
      <c r="B36" s="56" t="s">
        <v>147</v>
      </c>
      <c r="C36" s="32" t="s">
        <v>148</v>
      </c>
      <c r="D36" s="27"/>
      <c r="E36" s="28" t="s">
        <v>9</v>
      </c>
      <c r="F36" s="33" t="s">
        <v>149</v>
      </c>
      <c r="G36" s="209">
        <f>(0+0+1)/3</f>
        <v>0.33333333333333331</v>
      </c>
      <c r="H36" s="209">
        <f>(0+0+1)/3</f>
        <v>0.33333333333333331</v>
      </c>
      <c r="I36" s="209">
        <f>(3+4+0)/3</f>
        <v>2.3333333333333335</v>
      </c>
      <c r="J36" s="209">
        <f>(0+0+1)/3</f>
        <v>0.33333333333333331</v>
      </c>
      <c r="K36" s="209">
        <f>(3+0+1)/3</f>
        <v>1.3333333333333333</v>
      </c>
      <c r="L36" s="209">
        <f>(0+0+1)/3</f>
        <v>0.33333333333333331</v>
      </c>
      <c r="M36" s="209">
        <f>(1+3+2)/3</f>
        <v>2</v>
      </c>
      <c r="N36" s="209">
        <v>0</v>
      </c>
      <c r="O36" s="209">
        <v>1</v>
      </c>
      <c r="P36" s="209">
        <v>0</v>
      </c>
      <c r="Q36" s="209">
        <v>3</v>
      </c>
      <c r="R36" s="209">
        <v>0</v>
      </c>
      <c r="S36" s="209">
        <v>0</v>
      </c>
      <c r="T36" s="57"/>
      <c r="U36" s="57"/>
      <c r="V36" s="57"/>
      <c r="W36" s="57"/>
      <c r="X36" s="57"/>
      <c r="Y36" s="57"/>
      <c r="Z36" s="57"/>
      <c r="AA36" s="57"/>
      <c r="AB36" s="57"/>
      <c r="AC36" s="57"/>
      <c r="AD36" s="57"/>
      <c r="AE36" s="57"/>
      <c r="AF36" s="57"/>
    </row>
    <row r="37" spans="1:1024" ht="112" x14ac:dyDescent="0.15">
      <c r="A37" s="25" t="s">
        <v>150</v>
      </c>
      <c r="B37" s="56" t="s">
        <v>151</v>
      </c>
      <c r="C37" s="32" t="s">
        <v>152</v>
      </c>
      <c r="D37" s="27"/>
      <c r="E37" s="28" t="s">
        <v>9</v>
      </c>
      <c r="F37" s="29">
        <v>0.7</v>
      </c>
      <c r="G37" s="204">
        <f>(0.84+0.79+0.72)/3</f>
        <v>0.78333333333333321</v>
      </c>
      <c r="H37" s="204">
        <f>(0.67+0.77+0.88)/3</f>
        <v>0.77333333333333332</v>
      </c>
      <c r="I37" s="204">
        <f>(0.88+0.85+0.89)/3</f>
        <v>0.87333333333333341</v>
      </c>
      <c r="J37" s="204">
        <f>(0.87+0.84+0.84)/3</f>
        <v>0.85</v>
      </c>
      <c r="K37" s="204">
        <f>(0.86+0.85+0.82)/3</f>
        <v>0.84333333333333327</v>
      </c>
      <c r="L37" s="204">
        <f>(0.82+0.85+0.86)/3</f>
        <v>0.84333333333333327</v>
      </c>
      <c r="M37" s="204">
        <f>(0.866+0.882+0.875)/3</f>
        <v>0.87433333333333341</v>
      </c>
      <c r="N37" s="204">
        <v>0.82299999999999995</v>
      </c>
      <c r="O37" s="204">
        <v>0.76400000000000001</v>
      </c>
      <c r="P37" s="204" t="s">
        <v>153</v>
      </c>
      <c r="Q37" s="204">
        <f>(74.9+75.1+65.4)/300</f>
        <v>0.71799999999999997</v>
      </c>
      <c r="R37" s="205">
        <v>0.67500000000000004</v>
      </c>
      <c r="S37" s="279" t="s">
        <v>338</v>
      </c>
      <c r="T37" s="57"/>
      <c r="U37" s="57"/>
      <c r="V37" s="57"/>
      <c r="W37" s="57"/>
      <c r="X37" s="57"/>
      <c r="Y37" s="57"/>
      <c r="Z37" s="57"/>
      <c r="AA37" s="57"/>
      <c r="AB37" s="52" t="s">
        <v>48</v>
      </c>
      <c r="AC37" s="52"/>
      <c r="AD37" s="52"/>
      <c r="AE37" s="52"/>
      <c r="AF37" s="52" t="s">
        <v>339</v>
      </c>
    </row>
    <row r="38" spans="1:1024" ht="70" x14ac:dyDescent="0.15">
      <c r="A38" s="25" t="s">
        <v>154</v>
      </c>
      <c r="B38" s="56" t="s">
        <v>155</v>
      </c>
      <c r="C38" s="32" t="s">
        <v>156</v>
      </c>
      <c r="D38" s="27"/>
      <c r="E38" s="28" t="s">
        <v>9</v>
      </c>
      <c r="F38" s="29">
        <v>0.7</v>
      </c>
      <c r="G38" s="204">
        <f>(0.97+0.88+0.98)/3</f>
        <v>0.94333333333333336</v>
      </c>
      <c r="H38" s="204">
        <f>(0.94+0.95+0.96)/3</f>
        <v>0.94999999999999984</v>
      </c>
      <c r="I38" s="204">
        <f>(0.97+0.85+0.9)/3</f>
        <v>0.90666666666666662</v>
      </c>
      <c r="J38" s="204">
        <f>(0.92+0.89+0.98)/3</f>
        <v>0.93</v>
      </c>
      <c r="K38" s="204">
        <f>(0.98+0.87+0.96)/3</f>
        <v>0.93666666666666665</v>
      </c>
      <c r="L38" s="204">
        <f>(0.93+0.93+0.91)/3</f>
        <v>0.92333333333333334</v>
      </c>
      <c r="M38" s="204">
        <f>(0.943+0.97+0.92)/3</f>
        <v>0.94433333333333325</v>
      </c>
      <c r="N38" s="204">
        <v>0.97099999999999997</v>
      </c>
      <c r="O38" s="204">
        <v>0.75449999999999995</v>
      </c>
      <c r="P38" s="204" t="s">
        <v>157</v>
      </c>
      <c r="Q38" s="204">
        <f>2*(244163+267519+293586)/(655951+652592+653666)</f>
        <v>0.82077699164564022</v>
      </c>
      <c r="R38" s="206">
        <v>0.49340000000000001</v>
      </c>
      <c r="S38" s="207">
        <v>0.98</v>
      </c>
      <c r="T38" s="57"/>
      <c r="U38" s="57"/>
      <c r="V38" s="57"/>
      <c r="W38" s="57"/>
      <c r="X38" s="57"/>
      <c r="Y38" s="57"/>
      <c r="Z38" s="57"/>
      <c r="AA38" s="57"/>
      <c r="AB38" s="52" t="s">
        <v>48</v>
      </c>
      <c r="AC38" s="52"/>
      <c r="AD38" s="52"/>
      <c r="AE38" s="52" t="s">
        <v>158</v>
      </c>
      <c r="AF38" s="52"/>
    </row>
    <row r="39" spans="1:1024" ht="70" x14ac:dyDescent="0.15">
      <c r="A39" s="25" t="s">
        <v>159</v>
      </c>
      <c r="B39" s="56" t="s">
        <v>160</v>
      </c>
      <c r="C39" s="32" t="s">
        <v>161</v>
      </c>
      <c r="D39" s="27"/>
      <c r="E39" s="28" t="s">
        <v>9</v>
      </c>
      <c r="F39" s="29">
        <v>0.2</v>
      </c>
      <c r="G39" s="204">
        <f>(0.78+0.79+0.75)/3</f>
        <v>0.77333333333333343</v>
      </c>
      <c r="H39" s="204"/>
      <c r="I39" s="204">
        <f>(0.47+0.46+0.47)/3</f>
        <v>0.46666666666666662</v>
      </c>
      <c r="J39" s="204">
        <f>(0.51+0.54+0.54)/3</f>
        <v>0.53</v>
      </c>
      <c r="K39" s="204">
        <f>(0.52+0.45+0.44)/3</f>
        <v>0.47</v>
      </c>
      <c r="L39" s="204">
        <f>(0.45+0.43+0.33)/3</f>
        <v>0.40333333333333332</v>
      </c>
      <c r="M39" s="204">
        <f>(0.275+0.27+0.52)/3</f>
        <v>0.35499999999999998</v>
      </c>
      <c r="N39" s="204" t="s">
        <v>162</v>
      </c>
      <c r="O39" s="204" t="s">
        <v>162</v>
      </c>
      <c r="P39" s="204" t="s">
        <v>162</v>
      </c>
      <c r="Q39" s="204" t="s">
        <v>162</v>
      </c>
      <c r="R39" s="204" t="s">
        <v>162</v>
      </c>
      <c r="S39" s="210" t="s">
        <v>162</v>
      </c>
      <c r="T39" s="57"/>
      <c r="U39" s="57"/>
      <c r="V39" s="57"/>
      <c r="W39" s="57"/>
      <c r="X39" s="57"/>
      <c r="Y39" s="57"/>
      <c r="Z39" s="57"/>
      <c r="AA39" s="57"/>
      <c r="AB39" s="52" t="s">
        <v>48</v>
      </c>
      <c r="AC39" s="52"/>
      <c r="AD39" s="52"/>
      <c r="AE39" s="52"/>
      <c r="AF39" s="52"/>
    </row>
    <row r="40" spans="1:1024" ht="15" thickBot="1" x14ac:dyDescent="0.2">
      <c r="A40" s="25" t="s">
        <v>163</v>
      </c>
      <c r="B40" s="56" t="s">
        <v>164</v>
      </c>
      <c r="C40" s="66" t="s">
        <v>165</v>
      </c>
      <c r="D40" s="27"/>
      <c r="E40" s="28" t="s">
        <v>93</v>
      </c>
      <c r="F40" s="53">
        <f>6770*0.8</f>
        <v>5416</v>
      </c>
      <c r="G40" s="208">
        <f>(22900+22480+21970)/3</f>
        <v>22450</v>
      </c>
      <c r="H40" s="208">
        <f>(22600+23500+24100)/3</f>
        <v>23400</v>
      </c>
      <c r="I40" s="209">
        <f>(24800+26900+27600)/3</f>
        <v>26433.333333333332</v>
      </c>
      <c r="J40" s="209">
        <f>(28700+31500+32700)/3</f>
        <v>30966.666666666668</v>
      </c>
      <c r="K40" s="209">
        <f>(33400+34300+35000)/3</f>
        <v>34233.333333333336</v>
      </c>
      <c r="L40" s="209">
        <f>(36890+36940+35800)/3</f>
        <v>36543.333333333336</v>
      </c>
      <c r="M40" s="209">
        <v>38500</v>
      </c>
      <c r="N40" s="209">
        <v>41034</v>
      </c>
      <c r="O40" s="209">
        <v>43100</v>
      </c>
      <c r="P40" s="209">
        <v>45500</v>
      </c>
      <c r="Q40" s="209">
        <v>48849</v>
      </c>
      <c r="R40" s="209">
        <v>48780</v>
      </c>
      <c r="S40" s="209">
        <v>56712.67</v>
      </c>
      <c r="T40" s="57"/>
      <c r="U40" s="57"/>
      <c r="V40" s="57"/>
      <c r="W40" s="57"/>
      <c r="X40" s="57"/>
      <c r="Y40" s="57"/>
      <c r="Z40" s="57"/>
      <c r="AA40" s="57"/>
      <c r="AB40" s="57"/>
      <c r="AC40" s="57"/>
      <c r="AD40" s="57"/>
      <c r="AE40" s="57"/>
      <c r="AF40" s="57"/>
    </row>
    <row r="41" spans="1:1024" x14ac:dyDescent="0.15">
      <c r="T41" s="1"/>
      <c r="U41" s="1"/>
      <c r="V41" s="1"/>
      <c r="W41" s="1"/>
      <c r="X41" s="1"/>
      <c r="Y41" s="1"/>
      <c r="Z41" s="1"/>
      <c r="AA41" s="1"/>
      <c r="AB41" s="1"/>
      <c r="AC41" s="1"/>
      <c r="AD41" s="1"/>
      <c r="AE41" s="1"/>
      <c r="AF41" s="1"/>
    </row>
    <row r="42" spans="1:1024" ht="14" x14ac:dyDescent="0.15">
      <c r="A42" s="67" t="s">
        <v>166</v>
      </c>
    </row>
    <row r="43" spans="1:1024" ht="28" x14ac:dyDescent="0.15">
      <c r="A43" s="68" t="s">
        <v>167</v>
      </c>
      <c r="B43" s="69"/>
      <c r="C43" s="70" t="s">
        <v>168</v>
      </c>
      <c r="D43" s="71"/>
      <c r="E43" s="72" t="s">
        <v>169</v>
      </c>
      <c r="F43" s="71"/>
      <c r="G43" s="73"/>
      <c r="H43" s="73"/>
      <c r="I43" s="73"/>
      <c r="J43" s="73"/>
      <c r="K43" s="73"/>
      <c r="L43" s="74"/>
      <c r="M43" s="74"/>
      <c r="N43" s="74"/>
      <c r="O43" s="74"/>
      <c r="P43" s="74"/>
      <c r="Q43" s="74"/>
      <c r="R43" s="74"/>
      <c r="S43" s="74"/>
      <c r="T43" s="75"/>
      <c r="U43" s="75"/>
      <c r="V43" s="75"/>
      <c r="W43" s="75"/>
      <c r="X43" s="75"/>
      <c r="Y43" s="75"/>
      <c r="Z43" s="75"/>
      <c r="AA43" s="75"/>
      <c r="AB43" s="75"/>
      <c r="AC43" s="75"/>
      <c r="AD43" s="75"/>
      <c r="AE43" s="75"/>
      <c r="AF43" s="75"/>
    </row>
    <row r="44" spans="1:1024" ht="28" x14ac:dyDescent="0.15">
      <c r="A44" s="76" t="s">
        <v>170</v>
      </c>
      <c r="B44" s="77"/>
      <c r="C44" s="78" t="s">
        <v>171</v>
      </c>
      <c r="D44" s="34"/>
      <c r="E44" s="79" t="s">
        <v>169</v>
      </c>
      <c r="F44" s="34"/>
      <c r="G44" s="44"/>
      <c r="H44" s="44"/>
      <c r="I44" s="44"/>
      <c r="J44" s="44"/>
      <c r="K44" s="44"/>
      <c r="L44" s="80"/>
      <c r="M44" s="80"/>
      <c r="N44" s="80"/>
      <c r="O44" s="80"/>
      <c r="P44" s="80"/>
      <c r="Q44" s="80"/>
      <c r="R44" s="80"/>
      <c r="S44" s="80"/>
      <c r="T44" s="81"/>
      <c r="U44" s="81"/>
      <c r="V44" s="81"/>
      <c r="W44" s="81"/>
      <c r="X44" s="81"/>
      <c r="Y44" s="81"/>
      <c r="Z44" s="81"/>
      <c r="AA44" s="81"/>
      <c r="AB44" s="81"/>
      <c r="AC44" s="81"/>
      <c r="AD44" s="81"/>
      <c r="AE44" s="81"/>
      <c r="AF44" s="81"/>
    </row>
    <row r="45" spans="1:1024" ht="63.75" customHeight="1" x14ac:dyDescent="0.15">
      <c r="A45" s="76" t="s">
        <v>172</v>
      </c>
      <c r="B45" s="77"/>
      <c r="C45" s="82" t="s">
        <v>173</v>
      </c>
      <c r="D45" s="34"/>
      <c r="E45" s="79" t="s">
        <v>169</v>
      </c>
      <c r="F45" s="34"/>
      <c r="G45" s="44"/>
      <c r="H45" s="44"/>
      <c r="I45" s="44"/>
      <c r="J45" s="44"/>
      <c r="K45" s="44"/>
      <c r="L45" s="80"/>
      <c r="M45" s="80"/>
      <c r="N45" s="80"/>
      <c r="O45" s="80"/>
      <c r="P45" s="80"/>
      <c r="Q45" s="80"/>
      <c r="R45" s="80"/>
      <c r="S45" s="80"/>
      <c r="T45" s="83"/>
      <c r="U45" s="83"/>
      <c r="V45" s="83"/>
      <c r="W45" s="83"/>
      <c r="X45" s="83"/>
      <c r="Y45" s="83"/>
      <c r="Z45" s="83"/>
      <c r="AA45" s="83"/>
      <c r="AB45" s="83"/>
      <c r="AC45" s="83"/>
      <c r="AD45" s="83"/>
      <c r="AE45" s="83"/>
      <c r="AF45" s="83"/>
    </row>
    <row r="46" spans="1:1024" s="93" customFormat="1" ht="84.75" customHeight="1" x14ac:dyDescent="0.15">
      <c r="A46" s="84" t="s">
        <v>174</v>
      </c>
      <c r="B46" s="85"/>
      <c r="C46" s="86" t="s">
        <v>175</v>
      </c>
      <c r="D46" s="87"/>
      <c r="E46" s="88" t="s">
        <v>169</v>
      </c>
      <c r="F46" s="89" t="s">
        <v>99</v>
      </c>
      <c r="G46" s="90"/>
      <c r="H46" s="90"/>
      <c r="I46" s="91">
        <v>1</v>
      </c>
      <c r="J46" s="91">
        <v>1</v>
      </c>
      <c r="K46" s="91">
        <v>0.99990000000000001</v>
      </c>
      <c r="L46" s="91"/>
      <c r="M46" s="91">
        <v>1</v>
      </c>
      <c r="N46" s="91">
        <v>1</v>
      </c>
      <c r="O46" s="91">
        <v>1</v>
      </c>
      <c r="P46" s="91">
        <v>1</v>
      </c>
      <c r="Q46" s="91">
        <v>1</v>
      </c>
      <c r="R46" s="91"/>
      <c r="S46" s="179">
        <v>0.99</v>
      </c>
      <c r="T46" s="92" t="s">
        <v>176</v>
      </c>
      <c r="U46" s="92"/>
      <c r="V46" s="92"/>
      <c r="W46" s="92"/>
      <c r="X46" s="92" t="s">
        <v>177</v>
      </c>
      <c r="Y46" s="92"/>
      <c r="Z46" s="92"/>
      <c r="AA46" s="92"/>
      <c r="AB46" s="92"/>
      <c r="AC46" s="92"/>
      <c r="AD46" s="92"/>
      <c r="AE46" s="92"/>
      <c r="AF46" s="92"/>
      <c r="AMJ46"/>
    </row>
    <row r="47" spans="1:1024" s="93" customFormat="1" ht="54" customHeight="1" x14ac:dyDescent="0.15">
      <c r="A47" s="94" t="s">
        <v>178</v>
      </c>
      <c r="B47" s="95"/>
      <c r="C47" s="96" t="s">
        <v>179</v>
      </c>
      <c r="D47" s="97"/>
      <c r="E47" s="98" t="s">
        <v>180</v>
      </c>
      <c r="F47" s="99" t="s">
        <v>99</v>
      </c>
      <c r="G47" s="180">
        <v>1</v>
      </c>
      <c r="H47" s="180">
        <v>0.99</v>
      </c>
      <c r="I47" s="179">
        <v>1</v>
      </c>
      <c r="J47" s="179">
        <v>1</v>
      </c>
      <c r="K47" s="180">
        <v>0.99</v>
      </c>
      <c r="L47" s="179">
        <v>1</v>
      </c>
      <c r="M47" s="179">
        <v>1</v>
      </c>
      <c r="N47" s="179">
        <v>1</v>
      </c>
      <c r="O47" s="179">
        <v>1</v>
      </c>
      <c r="P47" s="179">
        <v>1</v>
      </c>
      <c r="Q47" s="179">
        <v>1</v>
      </c>
      <c r="R47" s="181"/>
      <c r="S47" s="182">
        <v>0.99199999999999999</v>
      </c>
      <c r="T47" s="100"/>
      <c r="U47" s="100"/>
      <c r="V47" s="100"/>
      <c r="W47" s="100"/>
      <c r="X47" s="100"/>
      <c r="Y47" s="100"/>
      <c r="Z47" s="100"/>
      <c r="AA47" s="100"/>
      <c r="AB47" s="100"/>
      <c r="AC47" s="100"/>
      <c r="AD47" s="100"/>
      <c r="AE47" s="100"/>
      <c r="AF47" s="100"/>
      <c r="AMJ47"/>
    </row>
  </sheetData>
  <pageMargins left="0.75" right="0.75" top="1" bottom="1" header="0.51180555555555496" footer="0.51180555555555496"/>
  <pageSetup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G30"/>
  <sheetViews>
    <sheetView zoomScale="90" zoomScaleNormal="90" workbookViewId="0">
      <pane ySplit="8" topLeftCell="A9" activePane="bottomLeft" state="frozen"/>
      <selection pane="bottomLeft" activeCell="G24" sqref="G24"/>
    </sheetView>
  </sheetViews>
  <sheetFormatPr baseColWidth="10" defaultColWidth="8.83203125" defaultRowHeight="13" x14ac:dyDescent="0.15"/>
  <cols>
    <col min="1" max="1" width="13.5" customWidth="1"/>
    <col min="2" max="2" width="37.5" customWidth="1"/>
    <col min="3" max="3" width="19.6640625" customWidth="1"/>
    <col min="4" max="4" width="16.1640625" customWidth="1"/>
    <col min="5" max="5" width="13" customWidth="1"/>
    <col min="6" max="6" width="21.6640625" customWidth="1"/>
    <col min="7" max="7" width="63" customWidth="1"/>
  </cols>
  <sheetData>
    <row r="2" spans="1:7" x14ac:dyDescent="0.15">
      <c r="A2" s="101" t="s">
        <v>0</v>
      </c>
      <c r="B2" s="102"/>
      <c r="D2" s="103"/>
      <c r="E2" s="104" t="s">
        <v>181</v>
      </c>
      <c r="F2" s="105"/>
      <c r="G2" s="106" t="s">
        <v>182</v>
      </c>
    </row>
    <row r="3" spans="1:7" x14ac:dyDescent="0.15">
      <c r="A3" s="107" t="s">
        <v>2</v>
      </c>
      <c r="B3" s="108" t="str">
        <f>Metrics!B3</f>
        <v>Tier-1</v>
      </c>
      <c r="D3" s="109"/>
      <c r="E3" s="110" t="s">
        <v>183</v>
      </c>
      <c r="F3" s="111"/>
      <c r="G3" t="s">
        <v>184</v>
      </c>
    </row>
    <row r="4" spans="1:7" x14ac:dyDescent="0.15">
      <c r="A4" s="8" t="s">
        <v>5</v>
      </c>
      <c r="B4" s="9" t="str">
        <f>Metrics!B4</f>
        <v>Q1 2020</v>
      </c>
      <c r="D4" s="112"/>
      <c r="E4" s="110" t="s">
        <v>185</v>
      </c>
      <c r="F4" s="113"/>
      <c r="G4" t="s">
        <v>186</v>
      </c>
    </row>
    <row r="5" spans="1:7" x14ac:dyDescent="0.15">
      <c r="A5" s="15" t="s">
        <v>8</v>
      </c>
      <c r="B5" s="16" t="str">
        <f>Metrics!B5</f>
        <v>Darren Moore</v>
      </c>
      <c r="D5" s="19"/>
      <c r="E5" s="114" t="s">
        <v>11</v>
      </c>
      <c r="F5" s="115"/>
      <c r="G5" t="s">
        <v>187</v>
      </c>
    </row>
    <row r="6" spans="1:7" x14ac:dyDescent="0.15">
      <c r="A6" s="116" t="s">
        <v>188</v>
      </c>
    </row>
    <row r="8" spans="1:7" ht="20" customHeight="1" x14ac:dyDescent="0.15">
      <c r="A8" s="21" t="s">
        <v>189</v>
      </c>
      <c r="B8" s="21" t="s">
        <v>14</v>
      </c>
      <c r="C8" s="21" t="s">
        <v>16</v>
      </c>
      <c r="D8" s="21" t="s">
        <v>190</v>
      </c>
      <c r="E8" s="21" t="s">
        <v>191</v>
      </c>
      <c r="F8" s="21" t="s">
        <v>192</v>
      </c>
      <c r="G8" s="21" t="s">
        <v>193</v>
      </c>
    </row>
    <row r="9" spans="1:7" ht="28" x14ac:dyDescent="0.15">
      <c r="A9" s="117" t="s">
        <v>194</v>
      </c>
      <c r="B9" s="118" t="s">
        <v>195</v>
      </c>
      <c r="C9" s="119" t="s">
        <v>62</v>
      </c>
      <c r="D9" s="120">
        <v>42522</v>
      </c>
      <c r="E9" s="121"/>
      <c r="F9" s="121"/>
      <c r="G9" s="121" t="s">
        <v>196</v>
      </c>
    </row>
    <row r="10" spans="1:7" ht="14" x14ac:dyDescent="0.15">
      <c r="A10" s="117" t="s">
        <v>197</v>
      </c>
      <c r="B10" s="119" t="s">
        <v>198</v>
      </c>
      <c r="C10" s="119" t="s">
        <v>62</v>
      </c>
      <c r="D10" s="120">
        <v>42675</v>
      </c>
      <c r="E10" s="122">
        <v>42767</v>
      </c>
      <c r="F10" s="121"/>
      <c r="G10" s="121" t="s">
        <v>199</v>
      </c>
    </row>
    <row r="11" spans="1:7" ht="14" x14ac:dyDescent="0.15">
      <c r="A11" s="117" t="s">
        <v>200</v>
      </c>
      <c r="B11" s="119" t="s">
        <v>201</v>
      </c>
      <c r="C11" s="119" t="s">
        <v>62</v>
      </c>
      <c r="D11" s="120">
        <v>42826</v>
      </c>
      <c r="E11" s="121"/>
      <c r="F11" s="121"/>
      <c r="G11" s="121" t="s">
        <v>202</v>
      </c>
    </row>
    <row r="12" spans="1:7" ht="14" x14ac:dyDescent="0.15">
      <c r="A12" s="117" t="s">
        <v>203</v>
      </c>
      <c r="B12" s="119" t="s">
        <v>204</v>
      </c>
      <c r="C12" s="119" t="s">
        <v>205</v>
      </c>
      <c r="D12" s="120">
        <v>42856</v>
      </c>
      <c r="E12" s="121"/>
      <c r="F12" s="121"/>
      <c r="G12" s="123" t="s">
        <v>206</v>
      </c>
    </row>
    <row r="13" spans="1:7" ht="14" x14ac:dyDescent="0.15">
      <c r="A13" s="117" t="s">
        <v>207</v>
      </c>
      <c r="B13" s="119" t="s">
        <v>195</v>
      </c>
      <c r="C13" s="119" t="s">
        <v>205</v>
      </c>
      <c r="D13" s="120">
        <v>42887</v>
      </c>
      <c r="E13" s="121"/>
      <c r="F13" s="121"/>
      <c r="G13" s="121" t="s">
        <v>208</v>
      </c>
    </row>
    <row r="14" spans="1:7" ht="28" x14ac:dyDescent="0.15">
      <c r="A14" s="117" t="s">
        <v>209</v>
      </c>
      <c r="B14" s="119" t="s">
        <v>210</v>
      </c>
      <c r="C14" s="119" t="s">
        <v>205</v>
      </c>
      <c r="D14" s="120">
        <v>43040</v>
      </c>
      <c r="E14" s="124"/>
      <c r="F14" s="121"/>
      <c r="G14" s="121" t="s">
        <v>211</v>
      </c>
    </row>
    <row r="15" spans="1:7" ht="14" x14ac:dyDescent="0.15">
      <c r="A15" s="117" t="s">
        <v>212</v>
      </c>
      <c r="B15" s="119" t="s">
        <v>213</v>
      </c>
      <c r="C15" s="119" t="s">
        <v>205</v>
      </c>
      <c r="D15" s="120">
        <v>43191</v>
      </c>
      <c r="E15" s="122">
        <v>43344</v>
      </c>
      <c r="F15" s="121"/>
      <c r="G15" s="121" t="s">
        <v>214</v>
      </c>
    </row>
    <row r="16" spans="1:7" ht="14" x14ac:dyDescent="0.15">
      <c r="A16" s="117" t="s">
        <v>215</v>
      </c>
      <c r="B16" s="119" t="s">
        <v>204</v>
      </c>
      <c r="C16" s="119" t="s">
        <v>205</v>
      </c>
      <c r="D16" s="120">
        <v>43221</v>
      </c>
      <c r="E16" s="122">
        <v>43344</v>
      </c>
      <c r="F16" s="121"/>
      <c r="G16" s="121" t="s">
        <v>216</v>
      </c>
    </row>
    <row r="17" spans="1:7" ht="28" x14ac:dyDescent="0.15">
      <c r="A17" s="117" t="s">
        <v>217</v>
      </c>
      <c r="B17" s="118" t="s">
        <v>195</v>
      </c>
      <c r="C17" s="119" t="s">
        <v>205</v>
      </c>
      <c r="D17" s="120">
        <v>43252</v>
      </c>
      <c r="E17" s="122">
        <v>43313</v>
      </c>
      <c r="F17" s="121"/>
      <c r="G17" s="121" t="s">
        <v>218</v>
      </c>
    </row>
    <row r="18" spans="1:7" ht="14" x14ac:dyDescent="0.15">
      <c r="A18" s="117" t="s">
        <v>219</v>
      </c>
      <c r="B18" s="119" t="s">
        <v>220</v>
      </c>
      <c r="C18" s="119" t="s">
        <v>205</v>
      </c>
      <c r="D18" s="120">
        <v>43405</v>
      </c>
      <c r="E18" s="122">
        <v>43435</v>
      </c>
      <c r="F18" s="121"/>
      <c r="G18" s="121" t="s">
        <v>221</v>
      </c>
    </row>
    <row r="19" spans="1:7" ht="28" x14ac:dyDescent="0.15">
      <c r="A19" s="117" t="s">
        <v>222</v>
      </c>
      <c r="B19" s="119" t="s">
        <v>223</v>
      </c>
      <c r="C19" s="119" t="s">
        <v>205</v>
      </c>
      <c r="D19" s="120">
        <v>43556</v>
      </c>
      <c r="E19" s="122">
        <v>43525</v>
      </c>
      <c r="F19" s="121"/>
      <c r="G19" s="121" t="s">
        <v>224</v>
      </c>
    </row>
    <row r="20" spans="1:7" ht="32.25" customHeight="1" x14ac:dyDescent="0.15">
      <c r="A20" s="117" t="s">
        <v>225</v>
      </c>
      <c r="B20" s="119" t="s">
        <v>204</v>
      </c>
      <c r="C20" s="119" t="s">
        <v>205</v>
      </c>
      <c r="D20" s="120">
        <v>43586</v>
      </c>
      <c r="E20" s="122">
        <v>43525</v>
      </c>
      <c r="F20" s="121"/>
      <c r="G20" s="121" t="s">
        <v>226</v>
      </c>
    </row>
    <row r="21" spans="1:7" ht="14" x14ac:dyDescent="0.15">
      <c r="A21" s="117" t="s">
        <v>227</v>
      </c>
      <c r="B21" s="118" t="s">
        <v>195</v>
      </c>
      <c r="C21" s="119" t="s">
        <v>205</v>
      </c>
      <c r="D21" s="120">
        <v>43617</v>
      </c>
      <c r="E21" s="122">
        <v>43617</v>
      </c>
      <c r="F21" s="121"/>
      <c r="G21" s="121" t="s">
        <v>228</v>
      </c>
    </row>
    <row r="22" spans="1:7" ht="42.75" customHeight="1" x14ac:dyDescent="0.15">
      <c r="A22" s="117" t="s">
        <v>229</v>
      </c>
      <c r="B22" s="119" t="s">
        <v>230</v>
      </c>
      <c r="C22" s="119" t="s">
        <v>205</v>
      </c>
      <c r="D22" s="120">
        <v>43770</v>
      </c>
      <c r="E22" s="122">
        <v>43770</v>
      </c>
      <c r="F22" s="121"/>
      <c r="G22" s="121" t="s">
        <v>231</v>
      </c>
    </row>
    <row r="23" spans="1:7" ht="42.75" customHeight="1" x14ac:dyDescent="0.15">
      <c r="A23" s="211" t="s">
        <v>232</v>
      </c>
      <c r="B23" s="212" t="s">
        <v>233</v>
      </c>
      <c r="C23" s="119" t="s">
        <v>205</v>
      </c>
      <c r="D23" s="213">
        <v>43922</v>
      </c>
      <c r="E23" s="215">
        <v>43891</v>
      </c>
      <c r="F23" s="214"/>
      <c r="G23" s="214" t="s">
        <v>334</v>
      </c>
    </row>
    <row r="24" spans="1:7" ht="128.25" customHeight="1" x14ac:dyDescent="0.15">
      <c r="A24" s="211" t="s">
        <v>234</v>
      </c>
      <c r="B24" s="212" t="s">
        <v>204</v>
      </c>
      <c r="C24" s="119" t="s">
        <v>205</v>
      </c>
      <c r="D24" s="213">
        <v>43952</v>
      </c>
      <c r="E24" s="215">
        <v>43891</v>
      </c>
      <c r="F24" s="214"/>
      <c r="G24" s="214" t="s">
        <v>335</v>
      </c>
    </row>
    <row r="25" spans="1:7" ht="48.75" customHeight="1" x14ac:dyDescent="0.15"/>
    <row r="29" spans="1:7" ht="49.5" customHeight="1" x14ac:dyDescent="0.15"/>
    <row r="30" spans="1:7" ht="35" customHeight="1" x14ac:dyDescent="0.15"/>
  </sheetData>
  <pageMargins left="0.75" right="0.75" top="1" bottom="1" header="0.51180555555555496" footer="0.51180555555555496"/>
  <pageSetup paperSize="9" firstPageNumber="0" orientation="landscape"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8"/>
  <sheetViews>
    <sheetView zoomScaleNormal="100" workbookViewId="0">
      <selection activeCell="N16" sqref="N16"/>
    </sheetView>
  </sheetViews>
  <sheetFormatPr baseColWidth="10" defaultColWidth="8.83203125" defaultRowHeight="13" x14ac:dyDescent="0.15"/>
  <cols>
    <col min="1" max="1" width="15" customWidth="1"/>
    <col min="2" max="3" width="24.5" customWidth="1"/>
    <col min="4" max="4" width="17.5" customWidth="1"/>
    <col min="5" max="5" width="13.1640625" customWidth="1"/>
    <col min="6" max="6" width="11.5" customWidth="1"/>
    <col min="7" max="7" width="12.5" customWidth="1"/>
    <col min="8" max="8" width="11" customWidth="1"/>
    <col min="9" max="9" width="11.1640625" customWidth="1"/>
    <col min="10" max="10" width="18" customWidth="1"/>
    <col min="12" max="12" width="12.83203125" customWidth="1"/>
    <col min="13" max="13" width="12.1640625" customWidth="1"/>
  </cols>
  <sheetData>
    <row r="1" spans="1:18" ht="16" x14ac:dyDescent="0.2">
      <c r="A1" s="125"/>
      <c r="B1" s="125"/>
      <c r="C1" s="125"/>
      <c r="D1" s="125"/>
      <c r="E1" s="125"/>
      <c r="F1" s="125"/>
      <c r="G1" s="125"/>
      <c r="H1" s="125"/>
      <c r="I1" s="125"/>
      <c r="J1" s="125"/>
      <c r="K1" s="125"/>
    </row>
    <row r="2" spans="1:18" ht="16" x14ac:dyDescent="0.2">
      <c r="A2" s="126" t="s">
        <v>0</v>
      </c>
      <c r="B2" s="127"/>
      <c r="E2" s="125"/>
      <c r="F2" s="125"/>
      <c r="G2" s="125"/>
      <c r="H2" s="125"/>
      <c r="I2" s="125"/>
    </row>
    <row r="3" spans="1:18" ht="16" x14ac:dyDescent="0.2">
      <c r="A3" s="128" t="s">
        <v>2</v>
      </c>
      <c r="B3" s="129" t="s">
        <v>3</v>
      </c>
      <c r="E3" s="125"/>
      <c r="F3" s="125"/>
      <c r="G3" s="125"/>
      <c r="H3" s="125"/>
      <c r="I3" s="125"/>
    </row>
    <row r="4" spans="1:18" ht="16" x14ac:dyDescent="0.2">
      <c r="A4" s="130" t="s">
        <v>5</v>
      </c>
      <c r="B4" s="9" t="str">
        <f>Metrics!B4</f>
        <v>Q1 2020</v>
      </c>
      <c r="E4" s="125"/>
      <c r="F4" s="125"/>
      <c r="G4" s="125"/>
      <c r="H4" s="125"/>
      <c r="I4" s="125"/>
    </row>
    <row r="5" spans="1:18" ht="16" x14ac:dyDescent="0.2">
      <c r="A5" s="131" t="s">
        <v>8</v>
      </c>
      <c r="B5" s="132" t="s">
        <v>205</v>
      </c>
      <c r="E5" s="125"/>
      <c r="F5" s="125"/>
      <c r="G5" s="125"/>
      <c r="H5" s="125"/>
      <c r="I5" s="125"/>
    </row>
    <row r="6" spans="1:18" ht="16" x14ac:dyDescent="0.2">
      <c r="A6" s="125"/>
      <c r="B6" s="125"/>
      <c r="C6" s="125"/>
      <c r="D6" s="125"/>
      <c r="E6" s="125"/>
      <c r="F6" s="125"/>
      <c r="G6" s="125"/>
      <c r="H6" s="125"/>
      <c r="I6" s="125"/>
    </row>
    <row r="7" spans="1:18" ht="16" x14ac:dyDescent="0.2">
      <c r="A7" s="133" t="s">
        <v>235</v>
      </c>
      <c r="B7" s="133"/>
      <c r="C7" s="133"/>
      <c r="D7" s="125"/>
      <c r="E7" s="125"/>
      <c r="F7" s="125"/>
      <c r="G7" s="125"/>
      <c r="H7" s="125"/>
      <c r="I7" s="125"/>
    </row>
    <row r="8" spans="1:18" ht="13.5" customHeight="1" x14ac:dyDescent="0.2">
      <c r="A8" s="134"/>
      <c r="B8" s="135"/>
      <c r="C8" s="136"/>
      <c r="D8" s="216" t="s">
        <v>236</v>
      </c>
      <c r="E8" s="216"/>
      <c r="F8" s="216"/>
      <c r="G8" s="217" t="s">
        <v>237</v>
      </c>
      <c r="H8" s="217"/>
      <c r="I8" s="217"/>
    </row>
    <row r="9" spans="1:18" ht="34" x14ac:dyDescent="0.2">
      <c r="A9" s="137" t="s">
        <v>238</v>
      </c>
      <c r="B9" s="138" t="s">
        <v>239</v>
      </c>
      <c r="C9" s="138" t="s">
        <v>240</v>
      </c>
      <c r="D9" s="139" t="s">
        <v>241</v>
      </c>
      <c r="E9" s="140" t="s">
        <v>242</v>
      </c>
      <c r="F9" s="141" t="s">
        <v>243</v>
      </c>
      <c r="G9" s="142" t="s">
        <v>241</v>
      </c>
      <c r="H9" s="140" t="s">
        <v>242</v>
      </c>
      <c r="I9" s="143" t="s">
        <v>243</v>
      </c>
    </row>
    <row r="10" spans="1:18" ht="68" x14ac:dyDescent="0.2">
      <c r="A10" s="144" t="s">
        <v>3</v>
      </c>
      <c r="B10" s="145" t="s">
        <v>244</v>
      </c>
      <c r="C10" s="146" t="s">
        <v>245</v>
      </c>
      <c r="D10" s="218">
        <v>4.71</v>
      </c>
      <c r="E10" s="218"/>
      <c r="F10" s="218"/>
      <c r="G10" s="147"/>
      <c r="H10" s="148"/>
      <c r="I10" s="149"/>
      <c r="J10" s="106"/>
      <c r="K10" s="1"/>
      <c r="L10" s="150"/>
      <c r="M10" s="150"/>
    </row>
    <row r="11" spans="1:18" ht="34" x14ac:dyDescent="0.2">
      <c r="A11" s="151" t="s">
        <v>3</v>
      </c>
      <c r="B11" s="152" t="s">
        <v>246</v>
      </c>
      <c r="C11" s="153" t="s">
        <v>247</v>
      </c>
      <c r="D11" s="218">
        <v>2.7</v>
      </c>
      <c r="E11" s="218"/>
      <c r="F11" s="218"/>
      <c r="G11" s="154"/>
      <c r="H11" s="154"/>
      <c r="I11" s="154"/>
      <c r="J11" s="106"/>
      <c r="L11" s="150"/>
      <c r="M11" s="150"/>
    </row>
    <row r="12" spans="1:18" ht="51" x14ac:dyDescent="0.2">
      <c r="A12" s="151" t="s">
        <v>3</v>
      </c>
      <c r="B12" s="152" t="s">
        <v>248</v>
      </c>
      <c r="C12" s="153" t="s">
        <v>249</v>
      </c>
      <c r="D12" s="218">
        <v>3.1</v>
      </c>
      <c r="E12" s="218"/>
      <c r="F12" s="218"/>
      <c r="G12" s="155"/>
      <c r="H12" s="155"/>
      <c r="I12" s="155"/>
      <c r="J12" s="156"/>
      <c r="L12" s="150"/>
      <c r="M12" s="150"/>
      <c r="R12" s="150"/>
    </row>
    <row r="13" spans="1:18" ht="34" x14ac:dyDescent="0.2">
      <c r="A13" s="151" t="s">
        <v>3</v>
      </c>
      <c r="B13" s="152" t="s">
        <v>250</v>
      </c>
      <c r="C13" s="153" t="s">
        <v>251</v>
      </c>
      <c r="D13" s="218">
        <v>1</v>
      </c>
      <c r="E13" s="218"/>
      <c r="F13" s="218"/>
      <c r="G13" s="155"/>
      <c r="H13" s="157"/>
      <c r="I13" s="158"/>
      <c r="J13" s="159"/>
      <c r="L13" s="150"/>
      <c r="M13" s="150"/>
    </row>
    <row r="14" spans="1:18" ht="17" x14ac:dyDescent="0.2">
      <c r="A14" s="151" t="s">
        <v>3</v>
      </c>
      <c r="B14" s="152" t="s">
        <v>252</v>
      </c>
      <c r="C14" s="153" t="s">
        <v>253</v>
      </c>
      <c r="D14" s="218">
        <v>1</v>
      </c>
      <c r="E14" s="218"/>
      <c r="F14" s="218"/>
      <c r="G14" s="155"/>
      <c r="H14" s="155"/>
      <c r="I14" s="155"/>
      <c r="J14" s="159"/>
      <c r="L14" s="150"/>
      <c r="M14" s="150"/>
    </row>
    <row r="15" spans="1:18" ht="17" x14ac:dyDescent="0.2">
      <c r="A15" s="151" t="s">
        <v>3</v>
      </c>
      <c r="B15" s="152" t="s">
        <v>254</v>
      </c>
      <c r="C15" s="153" t="s">
        <v>255</v>
      </c>
      <c r="D15" s="218">
        <v>1.7</v>
      </c>
      <c r="E15" s="218"/>
      <c r="F15" s="218"/>
      <c r="G15" s="160"/>
      <c r="H15" s="160"/>
      <c r="I15" s="160"/>
      <c r="J15" s="159"/>
      <c r="L15" s="150"/>
      <c r="M15" s="150"/>
    </row>
    <row r="16" spans="1:18" ht="16" x14ac:dyDescent="0.2">
      <c r="A16" s="161" t="s">
        <v>256</v>
      </c>
      <c r="B16" s="162"/>
      <c r="C16" s="162"/>
      <c r="D16" s="218">
        <f>SUM(D10:F15)</f>
        <v>14.209999999999999</v>
      </c>
      <c r="E16" s="218"/>
      <c r="F16" s="218"/>
      <c r="G16" s="163">
        <f>SUM(G10:G15)</f>
        <v>0</v>
      </c>
      <c r="H16" s="164">
        <f>SUM(H10:H15)</f>
        <v>0</v>
      </c>
      <c r="I16" s="164">
        <f>SUM(I10:I15)</f>
        <v>0</v>
      </c>
      <c r="N16" s="150"/>
    </row>
    <row r="17" spans="1:14" ht="16" x14ac:dyDescent="0.2">
      <c r="A17" s="125"/>
      <c r="B17" s="125"/>
      <c r="C17" s="125"/>
      <c r="D17" s="125"/>
      <c r="E17" s="125"/>
      <c r="F17" s="165"/>
      <c r="G17" s="125"/>
      <c r="H17" s="125"/>
      <c r="I17" s="125"/>
      <c r="J17" s="125"/>
      <c r="K17" s="125"/>
    </row>
    <row r="18" spans="1:14" ht="16" x14ac:dyDescent="0.2">
      <c r="A18" s="125"/>
      <c r="B18" s="125"/>
      <c r="C18" s="125"/>
      <c r="D18" s="125"/>
      <c r="E18" s="125"/>
      <c r="F18" s="125"/>
      <c r="G18" s="125"/>
      <c r="H18" s="165"/>
      <c r="I18" s="125"/>
      <c r="J18" s="125"/>
      <c r="K18" s="125"/>
    </row>
    <row r="19" spans="1:14" ht="13.5" customHeight="1" x14ac:dyDescent="0.2">
      <c r="A19" s="134"/>
      <c r="B19" s="135"/>
      <c r="C19" s="136"/>
      <c r="D19" s="216" t="s">
        <v>236</v>
      </c>
      <c r="E19" s="216"/>
      <c r="F19" s="216"/>
      <c r="G19" s="217" t="s">
        <v>237</v>
      </c>
      <c r="H19" s="217"/>
      <c r="I19" s="217"/>
    </row>
    <row r="20" spans="1:14" ht="34" x14ac:dyDescent="0.2">
      <c r="A20" s="137" t="s">
        <v>238</v>
      </c>
      <c r="B20" s="138" t="s">
        <v>239</v>
      </c>
      <c r="C20" s="138" t="s">
        <v>240</v>
      </c>
      <c r="D20" s="139" t="s">
        <v>241</v>
      </c>
      <c r="E20" s="140" t="s">
        <v>242</v>
      </c>
      <c r="F20" s="141" t="s">
        <v>243</v>
      </c>
      <c r="G20" s="142" t="s">
        <v>241</v>
      </c>
      <c r="H20" s="140" t="s">
        <v>242</v>
      </c>
      <c r="I20" s="143" t="s">
        <v>243</v>
      </c>
    </row>
    <row r="21" spans="1:14" ht="34" x14ac:dyDescent="0.2">
      <c r="A21" s="144" t="s">
        <v>3</v>
      </c>
      <c r="B21" s="145" t="s">
        <v>257</v>
      </c>
      <c r="C21" s="166" t="s">
        <v>258</v>
      </c>
      <c r="D21" s="167">
        <v>0.75</v>
      </c>
      <c r="E21" s="167">
        <v>0.75</v>
      </c>
      <c r="F21" s="167">
        <v>0.75</v>
      </c>
      <c r="G21" s="147"/>
      <c r="H21" s="148"/>
      <c r="I21" s="149"/>
      <c r="J21" s="106"/>
      <c r="K21" s="1"/>
      <c r="L21" s="150"/>
      <c r="M21" s="150"/>
    </row>
    <row r="22" spans="1:14" ht="16" x14ac:dyDescent="0.2">
      <c r="A22" s="161" t="s">
        <v>256</v>
      </c>
      <c r="B22" s="162"/>
      <c r="C22" s="168"/>
      <c r="D22" s="164">
        <f t="shared" ref="D22:I22" si="0">SUM(D21:D21)</f>
        <v>0.75</v>
      </c>
      <c r="E22" s="164">
        <f t="shared" si="0"/>
        <v>0.75</v>
      </c>
      <c r="F22" s="164">
        <f t="shared" si="0"/>
        <v>0.75</v>
      </c>
      <c r="G22" s="164">
        <f t="shared" si="0"/>
        <v>0</v>
      </c>
      <c r="H22" s="164">
        <f t="shared" si="0"/>
        <v>0</v>
      </c>
      <c r="I22" s="164">
        <f t="shared" si="0"/>
        <v>0</v>
      </c>
    </row>
    <row r="23" spans="1:14" ht="16" x14ac:dyDescent="0.2">
      <c r="A23" s="125"/>
      <c r="B23" s="125"/>
      <c r="C23" s="125"/>
      <c r="D23" s="125"/>
      <c r="E23" s="125"/>
      <c r="F23" s="125"/>
      <c r="G23" s="125"/>
      <c r="H23" s="125"/>
      <c r="I23" s="125"/>
      <c r="J23" s="125"/>
      <c r="K23" s="125"/>
    </row>
    <row r="24" spans="1:14" ht="16" x14ac:dyDescent="0.2">
      <c r="A24" s="125"/>
      <c r="B24" s="125"/>
      <c r="C24" s="125"/>
      <c r="D24" s="125"/>
      <c r="E24" s="125"/>
      <c r="F24" s="125"/>
      <c r="G24" s="125"/>
      <c r="H24" s="125"/>
      <c r="I24" s="125"/>
      <c r="J24" s="125"/>
      <c r="K24" s="125"/>
    </row>
    <row r="25" spans="1:14" ht="16" x14ac:dyDescent="0.2">
      <c r="A25" s="125"/>
      <c r="B25" s="125"/>
      <c r="C25" s="125"/>
      <c r="D25" s="125"/>
      <c r="E25" s="125"/>
      <c r="F25" s="125"/>
      <c r="G25" s="125"/>
      <c r="H25" s="125"/>
      <c r="I25" s="125"/>
      <c r="J25" s="125"/>
      <c r="K25" s="125"/>
    </row>
    <row r="26" spans="1:14" ht="16" x14ac:dyDescent="0.2">
      <c r="A26" s="169"/>
      <c r="B26" s="125"/>
      <c r="C26" s="125"/>
      <c r="D26" s="125"/>
      <c r="E26" s="125"/>
      <c r="F26" s="125"/>
      <c r="G26" s="125"/>
      <c r="H26" s="125"/>
      <c r="I26" s="125"/>
      <c r="J26" s="125"/>
      <c r="K26" s="125"/>
      <c r="N26" s="150"/>
    </row>
    <row r="27" spans="1:14" ht="16" x14ac:dyDescent="0.2">
      <c r="A27" s="125" t="s">
        <v>259</v>
      </c>
      <c r="B27" s="125"/>
      <c r="C27" s="125"/>
      <c r="D27" s="125"/>
      <c r="E27" s="125"/>
      <c r="F27" s="125"/>
      <c r="G27" s="125"/>
      <c r="H27" s="125"/>
      <c r="I27" s="125"/>
      <c r="J27" s="125"/>
      <c r="K27" s="125"/>
    </row>
    <row r="28" spans="1:14" ht="16" x14ac:dyDescent="0.2">
      <c r="A28" s="125" t="s">
        <v>260</v>
      </c>
      <c r="B28" s="125"/>
      <c r="C28" s="125"/>
      <c r="D28" s="125"/>
      <c r="E28" s="125"/>
      <c r="F28" s="125"/>
      <c r="G28" s="125"/>
      <c r="H28" s="125"/>
      <c r="I28" s="125"/>
      <c r="J28" s="125"/>
      <c r="K28" s="125"/>
    </row>
  </sheetData>
  <mergeCells count="11">
    <mergeCell ref="G19:I19"/>
    <mergeCell ref="D13:F13"/>
    <mergeCell ref="D14:F14"/>
    <mergeCell ref="D15:F15"/>
    <mergeCell ref="D16:F16"/>
    <mergeCell ref="D19:F19"/>
    <mergeCell ref="D8:F8"/>
    <mergeCell ref="G8:I8"/>
    <mergeCell ref="D10:F10"/>
    <mergeCell ref="D11:F11"/>
    <mergeCell ref="D12:F12"/>
  </mergeCells>
  <pageMargins left="0.74791666666666701" right="0.74791666666666701" top="0.98402777777777795" bottom="0.98402777777777795" header="0.51180555555555496" footer="0.51180555555555496"/>
  <pageSetup firstPageNumber="0" orientation="landscape" horizontalDpi="300" verticalDpi="30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8"/>
  <sheetViews>
    <sheetView zoomScaleNormal="100" workbookViewId="0">
      <selection activeCell="G12" sqref="G12"/>
    </sheetView>
  </sheetViews>
  <sheetFormatPr baseColWidth="10" defaultColWidth="8.83203125" defaultRowHeight="13" x14ac:dyDescent="0.15"/>
  <cols>
    <col min="1" max="1" width="15" customWidth="1"/>
    <col min="2" max="3" width="24.5" customWidth="1"/>
    <col min="4" max="4" width="17.5" customWidth="1"/>
    <col min="5" max="5" width="13.1640625" customWidth="1"/>
    <col min="6" max="6" width="11.5" customWidth="1"/>
    <col min="7" max="7" width="12.5" customWidth="1"/>
    <col min="8" max="8" width="11" customWidth="1"/>
    <col min="9" max="9" width="11.1640625" customWidth="1"/>
    <col min="10" max="10" width="18" customWidth="1"/>
    <col min="12" max="12" width="12.83203125" customWidth="1"/>
    <col min="13" max="13" width="12.1640625" customWidth="1"/>
  </cols>
  <sheetData>
    <row r="1" spans="1:18" ht="16" x14ac:dyDescent="0.2">
      <c r="A1" s="125"/>
      <c r="B1" s="125"/>
      <c r="C1" s="125"/>
      <c r="D1" s="125"/>
      <c r="E1" s="125"/>
      <c r="F1" s="125"/>
      <c r="G1" s="125"/>
      <c r="H1" s="125"/>
      <c r="I1" s="125"/>
      <c r="J1" s="125"/>
      <c r="K1" s="125"/>
    </row>
    <row r="2" spans="1:18" ht="16" x14ac:dyDescent="0.2">
      <c r="A2" s="126" t="s">
        <v>0</v>
      </c>
      <c r="B2" s="127"/>
      <c r="E2" s="125"/>
      <c r="F2" s="125"/>
      <c r="G2" s="125"/>
      <c r="H2" s="125"/>
      <c r="I2" s="125"/>
    </row>
    <row r="3" spans="1:18" ht="16" x14ac:dyDescent="0.2">
      <c r="A3" s="128" t="s">
        <v>2</v>
      </c>
      <c r="B3" s="129" t="s">
        <v>3</v>
      </c>
      <c r="E3" s="125"/>
      <c r="F3" s="125"/>
      <c r="G3" s="125"/>
      <c r="H3" s="125"/>
      <c r="I3" s="125"/>
    </row>
    <row r="4" spans="1:18" ht="16" x14ac:dyDescent="0.2">
      <c r="A4" s="130" t="s">
        <v>5</v>
      </c>
      <c r="B4" s="9" t="str">
        <f>Metrics!B4</f>
        <v>Q1 2020</v>
      </c>
      <c r="E4" s="125"/>
      <c r="F4" s="125"/>
      <c r="G4" s="125"/>
      <c r="H4" s="125"/>
      <c r="I4" s="125"/>
    </row>
    <row r="5" spans="1:18" ht="16" x14ac:dyDescent="0.2">
      <c r="A5" s="131" t="s">
        <v>8</v>
      </c>
      <c r="B5" s="132" t="s">
        <v>205</v>
      </c>
      <c r="E5" s="125"/>
      <c r="F5" s="125"/>
      <c r="G5" s="125"/>
      <c r="H5" s="125"/>
      <c r="I5" s="125"/>
    </row>
    <row r="6" spans="1:18" ht="16" x14ac:dyDescent="0.2">
      <c r="A6" s="125"/>
      <c r="B6" s="125"/>
      <c r="C6" s="125"/>
      <c r="D6" s="125"/>
      <c r="E6" s="125"/>
      <c r="F6" s="125"/>
      <c r="G6" s="125"/>
      <c r="H6" s="125"/>
      <c r="I6" s="125"/>
    </row>
    <row r="7" spans="1:18" ht="16" x14ac:dyDescent="0.2">
      <c r="A7" s="133" t="s">
        <v>235</v>
      </c>
      <c r="B7" s="133"/>
      <c r="C7" s="133"/>
      <c r="D7" s="125"/>
      <c r="E7" s="125"/>
      <c r="F7" s="125"/>
      <c r="G7" s="125"/>
      <c r="H7" s="125"/>
      <c r="I7" s="125"/>
    </row>
    <row r="8" spans="1:18" ht="13.5" customHeight="1" x14ac:dyDescent="0.2">
      <c r="A8" s="134"/>
      <c r="B8" s="135"/>
      <c r="C8" s="136"/>
      <c r="D8" s="216" t="s">
        <v>236</v>
      </c>
      <c r="E8" s="216"/>
      <c r="F8" s="216"/>
      <c r="G8" s="217" t="s">
        <v>237</v>
      </c>
      <c r="H8" s="217"/>
      <c r="I8" s="217"/>
    </row>
    <row r="9" spans="1:18" ht="34" x14ac:dyDescent="0.2">
      <c r="A9" s="137" t="s">
        <v>238</v>
      </c>
      <c r="B9" s="138" t="s">
        <v>239</v>
      </c>
      <c r="C9" s="138" t="s">
        <v>240</v>
      </c>
      <c r="D9" s="139" t="s">
        <v>241</v>
      </c>
      <c r="E9" s="140" t="s">
        <v>242</v>
      </c>
      <c r="F9" s="141" t="s">
        <v>243</v>
      </c>
      <c r="G9" s="142" t="s">
        <v>241</v>
      </c>
      <c r="H9" s="140" t="s">
        <v>242</v>
      </c>
      <c r="I9" s="143" t="s">
        <v>243</v>
      </c>
    </row>
    <row r="10" spans="1:18" ht="51" x14ac:dyDescent="0.2">
      <c r="A10" s="144" t="s">
        <v>3</v>
      </c>
      <c r="B10" s="145" t="s">
        <v>244</v>
      </c>
      <c r="C10" s="146" t="s">
        <v>337</v>
      </c>
      <c r="D10" s="218">
        <v>4</v>
      </c>
      <c r="E10" s="218"/>
      <c r="F10" s="218"/>
      <c r="G10" s="147"/>
      <c r="H10" s="148"/>
      <c r="I10" s="149"/>
      <c r="J10" s="106"/>
      <c r="K10" s="1"/>
      <c r="L10" s="150"/>
      <c r="M10" s="150"/>
    </row>
    <row r="11" spans="1:18" ht="34" x14ac:dyDescent="0.2">
      <c r="A11" s="151" t="s">
        <v>3</v>
      </c>
      <c r="B11" s="152" t="s">
        <v>246</v>
      </c>
      <c r="C11" s="153" t="s">
        <v>247</v>
      </c>
      <c r="D11" s="218">
        <v>2.7</v>
      </c>
      <c r="E11" s="218"/>
      <c r="F11" s="218"/>
      <c r="G11" s="154"/>
      <c r="H11" s="154"/>
      <c r="I11" s="154"/>
      <c r="J11" s="106"/>
      <c r="L11" s="150"/>
      <c r="M11" s="150"/>
    </row>
    <row r="12" spans="1:18" ht="51" x14ac:dyDescent="0.2">
      <c r="A12" s="151" t="s">
        <v>3</v>
      </c>
      <c r="B12" s="152" t="s">
        <v>248</v>
      </c>
      <c r="C12" s="153" t="s">
        <v>249</v>
      </c>
      <c r="D12" s="218">
        <v>3.1</v>
      </c>
      <c r="E12" s="218"/>
      <c r="F12" s="218"/>
      <c r="G12" s="155"/>
      <c r="H12" s="155"/>
      <c r="I12" s="155"/>
      <c r="J12" s="156"/>
      <c r="L12" s="150"/>
      <c r="M12" s="150"/>
      <c r="R12" s="150"/>
    </row>
    <row r="13" spans="1:18" ht="34" x14ac:dyDescent="0.2">
      <c r="A13" s="151" t="s">
        <v>3</v>
      </c>
      <c r="B13" s="152" t="s">
        <v>250</v>
      </c>
      <c r="C13" s="153" t="s">
        <v>336</v>
      </c>
      <c r="D13" s="218">
        <v>1</v>
      </c>
      <c r="E13" s="218"/>
      <c r="F13" s="218"/>
      <c r="G13" s="155"/>
      <c r="H13" s="157"/>
      <c r="I13" s="158"/>
      <c r="J13" s="159"/>
      <c r="L13" s="150"/>
      <c r="M13" s="150"/>
    </row>
    <row r="14" spans="1:18" ht="17" x14ac:dyDescent="0.2">
      <c r="A14" s="151" t="s">
        <v>3</v>
      </c>
      <c r="B14" s="152" t="s">
        <v>252</v>
      </c>
      <c r="C14" s="153" t="s">
        <v>253</v>
      </c>
      <c r="D14" s="218">
        <v>1</v>
      </c>
      <c r="E14" s="218"/>
      <c r="F14" s="218"/>
      <c r="G14" s="155"/>
      <c r="H14" s="155"/>
      <c r="I14" s="155"/>
      <c r="J14" s="159"/>
      <c r="L14" s="150"/>
      <c r="M14" s="150"/>
    </row>
    <row r="15" spans="1:18" ht="17" x14ac:dyDescent="0.2">
      <c r="A15" s="151" t="s">
        <v>3</v>
      </c>
      <c r="B15" s="152" t="s">
        <v>254</v>
      </c>
      <c r="C15" s="153" t="s">
        <v>255</v>
      </c>
      <c r="D15" s="218">
        <v>1.7</v>
      </c>
      <c r="E15" s="218"/>
      <c r="F15" s="218"/>
      <c r="G15" s="160"/>
      <c r="H15" s="160"/>
      <c r="I15" s="160"/>
      <c r="J15" s="159"/>
      <c r="L15" s="150"/>
      <c r="M15" s="150"/>
    </row>
    <row r="16" spans="1:18" ht="16" x14ac:dyDescent="0.2">
      <c r="A16" s="161" t="s">
        <v>256</v>
      </c>
      <c r="B16" s="162"/>
      <c r="C16" s="162"/>
      <c r="D16" s="218">
        <f>SUM(D10:F15)</f>
        <v>13.5</v>
      </c>
      <c r="E16" s="218"/>
      <c r="F16" s="218"/>
      <c r="G16" s="163">
        <f>SUM(G10:G15)</f>
        <v>0</v>
      </c>
      <c r="H16" s="164">
        <f>SUM(H10:H15)</f>
        <v>0</v>
      </c>
      <c r="I16" s="164">
        <f>SUM(I10:I15)</f>
        <v>0</v>
      </c>
      <c r="N16" s="150"/>
    </row>
    <row r="17" spans="1:14" ht="16" x14ac:dyDescent="0.2">
      <c r="A17" s="125"/>
      <c r="B17" s="125"/>
      <c r="C17" s="125"/>
      <c r="D17" s="125"/>
      <c r="E17" s="125"/>
      <c r="F17" s="165"/>
      <c r="G17" s="125"/>
      <c r="H17" s="125"/>
      <c r="I17" s="125"/>
      <c r="J17" s="125"/>
      <c r="K17" s="125"/>
    </row>
    <row r="18" spans="1:14" ht="16" x14ac:dyDescent="0.2">
      <c r="A18" s="125"/>
      <c r="B18" s="125"/>
      <c r="C18" s="125"/>
      <c r="D18" s="125"/>
      <c r="E18" s="125"/>
      <c r="F18" s="125"/>
      <c r="G18" s="125"/>
      <c r="H18" s="165"/>
      <c r="I18" s="125"/>
      <c r="J18" s="125"/>
      <c r="K18" s="125"/>
    </row>
    <row r="19" spans="1:14" ht="13.5" customHeight="1" x14ac:dyDescent="0.2">
      <c r="A19" s="134"/>
      <c r="B19" s="135"/>
      <c r="C19" s="136"/>
      <c r="D19" s="216" t="s">
        <v>236</v>
      </c>
      <c r="E19" s="216"/>
      <c r="F19" s="216"/>
      <c r="G19" s="217" t="s">
        <v>237</v>
      </c>
      <c r="H19" s="217"/>
      <c r="I19" s="217"/>
    </row>
    <row r="20" spans="1:14" ht="34" x14ac:dyDescent="0.2">
      <c r="A20" s="137" t="s">
        <v>238</v>
      </c>
      <c r="B20" s="138" t="s">
        <v>239</v>
      </c>
      <c r="C20" s="138" t="s">
        <v>240</v>
      </c>
      <c r="D20" s="139" t="s">
        <v>241</v>
      </c>
      <c r="E20" s="140" t="s">
        <v>242</v>
      </c>
      <c r="F20" s="141" t="s">
        <v>243</v>
      </c>
      <c r="G20" s="142" t="s">
        <v>241</v>
      </c>
      <c r="H20" s="140" t="s">
        <v>242</v>
      </c>
      <c r="I20" s="143" t="s">
        <v>243</v>
      </c>
    </row>
    <row r="21" spans="1:14" ht="34" x14ac:dyDescent="0.2">
      <c r="A21" s="144" t="s">
        <v>3</v>
      </c>
      <c r="B21" s="145" t="s">
        <v>257</v>
      </c>
      <c r="C21" s="166" t="s">
        <v>258</v>
      </c>
      <c r="D21" s="167">
        <v>0.75</v>
      </c>
      <c r="E21" s="167">
        <v>0.75</v>
      </c>
      <c r="F21" s="167">
        <v>0.75</v>
      </c>
      <c r="G21" s="147"/>
      <c r="H21" s="148"/>
      <c r="I21" s="149"/>
      <c r="J21" s="106"/>
      <c r="K21" s="1"/>
      <c r="L21" s="150"/>
      <c r="M21" s="150"/>
    </row>
    <row r="22" spans="1:14" ht="16" x14ac:dyDescent="0.2">
      <c r="A22" s="161" t="s">
        <v>256</v>
      </c>
      <c r="B22" s="162"/>
      <c r="C22" s="168"/>
      <c r="D22" s="164">
        <f t="shared" ref="D22:I22" si="0">SUM(D21:D21)</f>
        <v>0.75</v>
      </c>
      <c r="E22" s="164">
        <f t="shared" si="0"/>
        <v>0.75</v>
      </c>
      <c r="F22" s="164">
        <f t="shared" si="0"/>
        <v>0.75</v>
      </c>
      <c r="G22" s="164">
        <f t="shared" si="0"/>
        <v>0</v>
      </c>
      <c r="H22" s="164">
        <f t="shared" si="0"/>
        <v>0</v>
      </c>
      <c r="I22" s="164">
        <f t="shared" si="0"/>
        <v>0</v>
      </c>
    </row>
    <row r="23" spans="1:14" ht="16" x14ac:dyDescent="0.2">
      <c r="A23" s="125"/>
      <c r="B23" s="125"/>
      <c r="C23" s="125"/>
      <c r="D23" s="125"/>
      <c r="E23" s="125"/>
      <c r="F23" s="125"/>
      <c r="G23" s="125"/>
      <c r="H23" s="125"/>
      <c r="I23" s="125"/>
      <c r="J23" s="125"/>
      <c r="K23" s="125"/>
    </row>
    <row r="24" spans="1:14" ht="16" x14ac:dyDescent="0.2">
      <c r="A24" s="125"/>
      <c r="B24" s="125"/>
      <c r="C24" s="125"/>
      <c r="D24" s="125"/>
      <c r="E24" s="125"/>
      <c r="F24" s="125"/>
      <c r="G24" s="125"/>
      <c r="H24" s="125"/>
      <c r="I24" s="125"/>
      <c r="J24" s="125"/>
      <c r="K24" s="125"/>
    </row>
    <row r="25" spans="1:14" ht="16" x14ac:dyDescent="0.2">
      <c r="A25" s="125"/>
      <c r="B25" s="125"/>
      <c r="C25" s="125"/>
      <c r="D25" s="125"/>
      <c r="E25" s="125"/>
      <c r="F25" s="125"/>
      <c r="G25" s="125"/>
      <c r="H25" s="125"/>
      <c r="I25" s="125"/>
      <c r="J25" s="125"/>
      <c r="K25" s="125"/>
    </row>
    <row r="26" spans="1:14" ht="16" x14ac:dyDescent="0.2">
      <c r="A26" s="169"/>
      <c r="B26" s="125"/>
      <c r="C26" s="125"/>
      <c r="D26" s="125"/>
      <c r="E26" s="125"/>
      <c r="F26" s="125"/>
      <c r="G26" s="125"/>
      <c r="H26" s="125"/>
      <c r="I26" s="125"/>
      <c r="J26" s="125"/>
      <c r="K26" s="125"/>
      <c r="N26" s="150"/>
    </row>
    <row r="27" spans="1:14" ht="16" x14ac:dyDescent="0.2">
      <c r="A27" s="125" t="s">
        <v>259</v>
      </c>
      <c r="B27" s="125"/>
      <c r="C27" s="125"/>
      <c r="D27" s="125"/>
      <c r="E27" s="125"/>
      <c r="F27" s="125"/>
      <c r="G27" s="125"/>
      <c r="H27" s="125"/>
      <c r="I27" s="125"/>
      <c r="J27" s="125"/>
      <c r="K27" s="125"/>
    </row>
    <row r="28" spans="1:14" ht="16" x14ac:dyDescent="0.2">
      <c r="A28" s="125" t="s">
        <v>260</v>
      </c>
      <c r="B28" s="125"/>
      <c r="C28" s="125"/>
      <c r="D28" s="125"/>
      <c r="E28" s="125"/>
      <c r="F28" s="125"/>
      <c r="G28" s="125"/>
      <c r="H28" s="125"/>
      <c r="I28" s="125"/>
      <c r="J28" s="125"/>
      <c r="K28" s="125"/>
    </row>
  </sheetData>
  <mergeCells count="11">
    <mergeCell ref="G19:I19"/>
    <mergeCell ref="D13:F13"/>
    <mergeCell ref="D14:F14"/>
    <mergeCell ref="D15:F15"/>
    <mergeCell ref="D16:F16"/>
    <mergeCell ref="D19:F19"/>
    <mergeCell ref="D8:F8"/>
    <mergeCell ref="G8:I8"/>
    <mergeCell ref="D10:F10"/>
    <mergeCell ref="D11:F11"/>
    <mergeCell ref="D12:F12"/>
  </mergeCells>
  <pageMargins left="0.74791666666666701" right="0.74791666666666701" top="0.98402777777777795" bottom="0.98402777777777795" header="0.51180555555555496" footer="0.51180555555555496"/>
  <pageSetup firstPageNumber="0" orientation="landscape" horizontalDpi="300" verticalDpi="300"/>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58"/>
  <sheetViews>
    <sheetView zoomScaleNormal="100" workbookViewId="0">
      <selection activeCell="G17" sqref="G17:K17"/>
    </sheetView>
  </sheetViews>
  <sheetFormatPr baseColWidth="10" defaultColWidth="8.83203125" defaultRowHeight="13" x14ac:dyDescent="0.15"/>
  <cols>
    <col min="1" max="1" width="14.5" customWidth="1"/>
    <col min="2" max="2" width="22.83203125" customWidth="1"/>
  </cols>
  <sheetData>
    <row r="1" spans="1:14" x14ac:dyDescent="0.15">
      <c r="A1" s="101" t="s">
        <v>0</v>
      </c>
      <c r="B1" s="102"/>
    </row>
    <row r="2" spans="1:14" x14ac:dyDescent="0.15">
      <c r="A2" s="170" t="s">
        <v>2</v>
      </c>
      <c r="B2" s="171" t="str">
        <f>Metrics!B3</f>
        <v>Tier-1</v>
      </c>
    </row>
    <row r="3" spans="1:14" x14ac:dyDescent="0.15">
      <c r="A3" s="8" t="s">
        <v>5</v>
      </c>
      <c r="B3" s="9" t="str">
        <f>Metrics!B4</f>
        <v>Q1 2020</v>
      </c>
    </row>
    <row r="4" spans="1:14" x14ac:dyDescent="0.15">
      <c r="A4" s="15" t="s">
        <v>8</v>
      </c>
      <c r="B4" s="16" t="str">
        <f>Metrics!B5</f>
        <v>Darren Moore</v>
      </c>
    </row>
    <row r="6" spans="1:14" x14ac:dyDescent="0.15">
      <c r="A6" s="172" t="s">
        <v>261</v>
      </c>
    </row>
    <row r="7" spans="1:14" ht="16.5" customHeight="1" x14ac:dyDescent="0.15">
      <c r="A7" s="173" t="s">
        <v>239</v>
      </c>
      <c r="B7" s="219" t="s">
        <v>262</v>
      </c>
      <c r="C7" s="219"/>
      <c r="D7" s="219"/>
      <c r="E7" s="219"/>
      <c r="F7" s="219"/>
      <c r="G7" s="220" t="s">
        <v>263</v>
      </c>
      <c r="H7" s="220"/>
      <c r="I7" s="220"/>
      <c r="J7" s="220"/>
      <c r="K7" s="220"/>
    </row>
    <row r="8" spans="1:14" ht="122.25" customHeight="1" x14ac:dyDescent="0.15">
      <c r="A8" s="174" t="s">
        <v>264</v>
      </c>
      <c r="B8" s="221" t="s">
        <v>265</v>
      </c>
      <c r="C8" s="221"/>
      <c r="D8" s="221"/>
      <c r="E8" s="221"/>
      <c r="F8" s="221"/>
      <c r="G8" s="222"/>
      <c r="H8" s="222"/>
      <c r="I8" s="222"/>
      <c r="J8" s="222"/>
      <c r="K8" s="222"/>
      <c r="N8" s="175"/>
    </row>
    <row r="9" spans="1:14" ht="217.5" customHeight="1" x14ac:dyDescent="0.15">
      <c r="A9" s="176" t="s">
        <v>252</v>
      </c>
      <c r="B9" s="223"/>
      <c r="C9" s="223"/>
      <c r="D9" s="223"/>
      <c r="E9" s="223"/>
      <c r="F9" s="223"/>
      <c r="G9" s="224"/>
      <c r="H9" s="224"/>
      <c r="I9" s="224"/>
      <c r="J9" s="224"/>
      <c r="K9" s="224"/>
    </row>
    <row r="10" spans="1:14" ht="143.25" customHeight="1" x14ac:dyDescent="0.15">
      <c r="A10" s="176" t="s">
        <v>266</v>
      </c>
      <c r="B10" s="223"/>
      <c r="C10" s="223"/>
      <c r="D10" s="223"/>
      <c r="E10" s="223"/>
      <c r="F10" s="223"/>
      <c r="G10" s="224"/>
      <c r="H10" s="224"/>
      <c r="I10" s="224"/>
      <c r="J10" s="224"/>
      <c r="K10" s="224"/>
    </row>
    <row r="11" spans="1:14" ht="241.5" customHeight="1" x14ac:dyDescent="0.15">
      <c r="A11" s="176" t="s">
        <v>267</v>
      </c>
      <c r="B11" s="223"/>
      <c r="C11" s="223"/>
      <c r="D11" s="223"/>
      <c r="E11" s="223"/>
      <c r="F11" s="223"/>
      <c r="G11" s="224"/>
      <c r="H11" s="224"/>
      <c r="I11" s="224"/>
      <c r="J11" s="224"/>
      <c r="K11" s="224"/>
    </row>
    <row r="12" spans="1:14" ht="351.75" customHeight="1" x14ac:dyDescent="0.15">
      <c r="A12" s="176" t="s">
        <v>268</v>
      </c>
      <c r="B12" s="223" t="s">
        <v>269</v>
      </c>
      <c r="C12" s="223"/>
      <c r="D12" s="223"/>
      <c r="E12" s="223"/>
      <c r="F12" s="223"/>
      <c r="G12" s="225"/>
      <c r="H12" s="225"/>
      <c r="I12" s="225"/>
      <c r="J12" s="225"/>
      <c r="K12" s="225"/>
    </row>
    <row r="13" spans="1:14" ht="309" customHeight="1" x14ac:dyDescent="0.15">
      <c r="A13" s="176" t="s">
        <v>270</v>
      </c>
      <c r="B13" s="226"/>
      <c r="C13" s="226"/>
      <c r="D13" s="226"/>
      <c r="E13" s="226"/>
      <c r="F13" s="226"/>
      <c r="G13" s="225"/>
      <c r="H13" s="225"/>
      <c r="I13" s="225"/>
      <c r="J13" s="225"/>
      <c r="K13" s="225"/>
    </row>
    <row r="14" spans="1:14" ht="129.75" customHeight="1" x14ac:dyDescent="0.15">
      <c r="A14" s="176" t="s">
        <v>271</v>
      </c>
      <c r="B14" s="223" t="s">
        <v>272</v>
      </c>
      <c r="C14" s="223"/>
      <c r="D14" s="223"/>
      <c r="E14" s="223"/>
      <c r="F14" s="223"/>
      <c r="G14" s="225"/>
      <c r="H14" s="225"/>
      <c r="I14" s="225"/>
      <c r="J14" s="225"/>
      <c r="K14" s="225"/>
    </row>
    <row r="15" spans="1:14" ht="176.25" customHeight="1" x14ac:dyDescent="0.15">
      <c r="A15" s="176" t="s">
        <v>273</v>
      </c>
      <c r="B15" s="223"/>
      <c r="C15" s="223"/>
      <c r="D15" s="223"/>
      <c r="E15" s="223"/>
      <c r="F15" s="223"/>
      <c r="G15" s="227"/>
      <c r="H15" s="227"/>
      <c r="I15" s="227"/>
      <c r="J15" s="227"/>
      <c r="K15" s="227"/>
    </row>
    <row r="16" spans="1:14" ht="212.25" customHeight="1" x14ac:dyDescent="0.15">
      <c r="A16" s="176" t="s">
        <v>274</v>
      </c>
      <c r="B16" s="223"/>
      <c r="C16" s="223"/>
      <c r="D16" s="223"/>
      <c r="E16" s="223"/>
      <c r="F16" s="223"/>
      <c r="G16" s="225"/>
      <c r="H16" s="225"/>
      <c r="I16" s="225"/>
      <c r="J16" s="225"/>
      <c r="K16" s="225"/>
    </row>
    <row r="17" spans="1:11" ht="409.5" customHeight="1" x14ac:dyDescent="0.15">
      <c r="A17" s="176" t="s">
        <v>275</v>
      </c>
      <c r="B17" s="223" t="s">
        <v>276</v>
      </c>
      <c r="C17" s="223"/>
      <c r="D17" s="223"/>
      <c r="E17" s="223"/>
      <c r="F17" s="223"/>
      <c r="G17" s="225" t="s">
        <v>277</v>
      </c>
      <c r="H17" s="225"/>
      <c r="I17" s="225"/>
      <c r="J17" s="225"/>
      <c r="K17" s="225"/>
    </row>
    <row r="18" spans="1:11" ht="248.25" customHeight="1" x14ac:dyDescent="0.15">
      <c r="A18" s="177" t="s">
        <v>278</v>
      </c>
      <c r="B18" s="228"/>
      <c r="C18" s="228"/>
      <c r="D18" s="228"/>
      <c r="E18" s="228"/>
      <c r="F18" s="228"/>
      <c r="G18" s="229"/>
      <c r="H18" s="229"/>
      <c r="I18" s="229"/>
      <c r="J18" s="229"/>
      <c r="K18" s="229"/>
    </row>
    <row r="19" spans="1:11" ht="146.25" customHeight="1" x14ac:dyDescent="0.15">
      <c r="A19" s="177" t="s">
        <v>279</v>
      </c>
      <c r="B19" s="230"/>
      <c r="C19" s="230"/>
      <c r="D19" s="230"/>
      <c r="E19" s="230"/>
      <c r="F19" s="230"/>
      <c r="G19" s="231"/>
      <c r="H19" s="231"/>
      <c r="I19" s="231"/>
      <c r="J19" s="231"/>
      <c r="K19" s="231"/>
    </row>
    <row r="20" spans="1:11" ht="146.25" customHeight="1" x14ac:dyDescent="0.15">
      <c r="A20" s="177" t="s">
        <v>280</v>
      </c>
      <c r="B20" s="232" t="s">
        <v>281</v>
      </c>
      <c r="C20" s="232"/>
      <c r="D20" s="232"/>
      <c r="E20" s="232"/>
      <c r="F20" s="232"/>
      <c r="G20" s="233"/>
      <c r="H20" s="233"/>
      <c r="I20" s="233"/>
      <c r="J20" s="233"/>
      <c r="K20" s="233"/>
    </row>
    <row r="21" spans="1:11" ht="180" customHeight="1" x14ac:dyDescent="0.15">
      <c r="A21" s="177" t="s">
        <v>282</v>
      </c>
      <c r="B21" s="228"/>
      <c r="C21" s="228"/>
      <c r="D21" s="228"/>
      <c r="E21" s="228"/>
      <c r="F21" s="228"/>
      <c r="G21" s="229"/>
      <c r="H21" s="229"/>
      <c r="I21" s="229"/>
      <c r="J21" s="229"/>
      <c r="K21" s="229"/>
    </row>
    <row r="22" spans="1:11" x14ac:dyDescent="0.15">
      <c r="A22" t="s">
        <v>283</v>
      </c>
    </row>
    <row r="24" spans="1:11" x14ac:dyDescent="0.15">
      <c r="A24" s="172" t="s">
        <v>284</v>
      </c>
    </row>
    <row r="25" spans="1:11" x14ac:dyDescent="0.15">
      <c r="A25" s="234" t="s">
        <v>285</v>
      </c>
      <c r="B25" s="234"/>
      <c r="C25" s="234"/>
      <c r="D25" s="234"/>
      <c r="E25" s="234"/>
      <c r="F25" s="235" t="s">
        <v>286</v>
      </c>
      <c r="G25" s="235"/>
      <c r="H25" s="235"/>
      <c r="I25" s="235"/>
      <c r="J25" s="235"/>
    </row>
    <row r="26" spans="1:11" ht="81" customHeight="1" x14ac:dyDescent="0.15">
      <c r="A26" s="236" t="s">
        <v>287</v>
      </c>
      <c r="B26" s="236"/>
      <c r="C26" s="236"/>
      <c r="D26" s="236"/>
      <c r="E26" s="236"/>
      <c r="F26" s="237" t="s">
        <v>288</v>
      </c>
      <c r="G26" s="237"/>
      <c r="H26" s="237"/>
      <c r="I26" s="237"/>
      <c r="J26" s="237"/>
    </row>
    <row r="27" spans="1:11" x14ac:dyDescent="0.15">
      <c r="A27" s="238"/>
      <c r="B27" s="238"/>
      <c r="C27" s="238"/>
      <c r="D27" s="238"/>
      <c r="E27" s="238"/>
      <c r="F27" s="239"/>
      <c r="G27" s="239"/>
      <c r="H27" s="239"/>
      <c r="I27" s="239"/>
      <c r="J27" s="239"/>
    </row>
    <row r="29" spans="1:11" x14ac:dyDescent="0.15">
      <c r="A29" s="172" t="s">
        <v>289</v>
      </c>
    </row>
    <row r="30" spans="1:11" x14ac:dyDescent="0.15">
      <c r="A30" s="234" t="s">
        <v>285</v>
      </c>
      <c r="B30" s="234"/>
      <c r="C30" s="234"/>
      <c r="D30" s="234"/>
      <c r="E30" s="234"/>
      <c r="F30" s="235" t="s">
        <v>286</v>
      </c>
      <c r="G30" s="235"/>
      <c r="H30" s="235"/>
      <c r="I30" s="235"/>
      <c r="J30" s="235"/>
    </row>
    <row r="31" spans="1:11" ht="93" customHeight="1" x14ac:dyDescent="0.15">
      <c r="A31" s="236" t="s">
        <v>290</v>
      </c>
      <c r="B31" s="236"/>
      <c r="C31" s="236"/>
      <c r="D31" s="236"/>
      <c r="E31" s="236"/>
      <c r="F31" s="240" t="s">
        <v>291</v>
      </c>
      <c r="G31" s="240"/>
      <c r="H31" s="240"/>
      <c r="I31" s="240"/>
      <c r="J31" s="240"/>
    </row>
    <row r="32" spans="1:11" ht="118.5" customHeight="1" x14ac:dyDescent="0.15">
      <c r="A32" s="236" t="s">
        <v>292</v>
      </c>
      <c r="B32" s="236"/>
      <c r="C32" s="236"/>
      <c r="D32" s="236"/>
      <c r="E32" s="236"/>
      <c r="F32" s="240" t="s">
        <v>293</v>
      </c>
      <c r="G32" s="240"/>
      <c r="H32" s="240"/>
      <c r="I32" s="240"/>
      <c r="J32" s="240"/>
    </row>
    <row r="33" spans="1:15" ht="93" customHeight="1" x14ac:dyDescent="0.15">
      <c r="A33" s="236" t="s">
        <v>294</v>
      </c>
      <c r="B33" s="236"/>
      <c r="C33" s="236"/>
      <c r="D33" s="236"/>
      <c r="E33" s="236"/>
      <c r="F33" s="240" t="s">
        <v>295</v>
      </c>
      <c r="G33" s="240"/>
      <c r="H33" s="240"/>
      <c r="I33" s="240"/>
      <c r="J33" s="240"/>
    </row>
    <row r="34" spans="1:15" ht="93" customHeight="1" x14ac:dyDescent="0.15">
      <c r="A34" s="236" t="s">
        <v>296</v>
      </c>
      <c r="B34" s="236"/>
      <c r="C34" s="236"/>
      <c r="D34" s="236"/>
      <c r="E34" s="236"/>
      <c r="F34" s="240" t="s">
        <v>297</v>
      </c>
      <c r="G34" s="240"/>
      <c r="H34" s="240"/>
      <c r="I34" s="240"/>
      <c r="J34" s="240"/>
    </row>
    <row r="35" spans="1:15" ht="135" customHeight="1" x14ac:dyDescent="0.15">
      <c r="A35" s="241" t="s">
        <v>298</v>
      </c>
      <c r="B35" s="241"/>
      <c r="C35" s="241"/>
      <c r="D35" s="241"/>
      <c r="E35" s="241"/>
      <c r="F35" s="242" t="s">
        <v>299</v>
      </c>
      <c r="G35" s="242"/>
      <c r="H35" s="242"/>
      <c r="I35" s="242"/>
      <c r="J35" s="242"/>
    </row>
    <row r="37" spans="1:15" x14ac:dyDescent="0.15">
      <c r="A37" s="172" t="s">
        <v>300</v>
      </c>
    </row>
    <row r="38" spans="1:15" x14ac:dyDescent="0.15">
      <c r="A38" s="234" t="s">
        <v>301</v>
      </c>
      <c r="B38" s="234"/>
      <c r="C38" s="234"/>
      <c r="D38" s="234"/>
      <c r="E38" s="234"/>
      <c r="F38" s="243" t="s">
        <v>302</v>
      </c>
      <c r="G38" s="243"/>
      <c r="H38" s="244" t="s">
        <v>303</v>
      </c>
      <c r="I38" s="244"/>
      <c r="J38" s="244"/>
      <c r="K38" s="244"/>
      <c r="L38" s="244"/>
    </row>
    <row r="39" spans="1:15" ht="115.5" customHeight="1" x14ac:dyDescent="0.15">
      <c r="A39" s="245" t="s">
        <v>304</v>
      </c>
      <c r="B39" s="245"/>
      <c r="C39" s="245"/>
      <c r="D39" s="245"/>
      <c r="E39" s="245"/>
      <c r="F39" s="246" t="s">
        <v>305</v>
      </c>
      <c r="G39" s="246"/>
      <c r="H39" s="237" t="s">
        <v>224</v>
      </c>
      <c r="I39" s="237"/>
      <c r="J39" s="237"/>
      <c r="K39" s="237"/>
      <c r="L39" s="237"/>
    </row>
    <row r="40" spans="1:15" ht="115.5" customHeight="1" x14ac:dyDescent="0.15">
      <c r="A40" s="247"/>
      <c r="B40" s="247"/>
      <c r="C40" s="247"/>
      <c r="D40" s="247"/>
      <c r="E40" s="247"/>
      <c r="F40" s="248"/>
      <c r="G40" s="248"/>
      <c r="H40" s="249"/>
      <c r="I40" s="249"/>
      <c r="J40" s="249"/>
      <c r="K40" s="249"/>
      <c r="L40" s="249"/>
    </row>
    <row r="41" spans="1:15" ht="115.5" customHeight="1" x14ac:dyDescent="0.15">
      <c r="A41" s="250"/>
      <c r="B41" s="250"/>
      <c r="C41" s="250"/>
      <c r="D41" s="250"/>
      <c r="E41" s="250"/>
      <c r="F41" s="251"/>
      <c r="G41" s="251"/>
      <c r="H41" s="252"/>
      <c r="I41" s="252"/>
      <c r="J41" s="252"/>
      <c r="K41" s="252"/>
      <c r="L41" s="252"/>
    </row>
    <row r="42" spans="1:15" ht="24.75" customHeight="1" x14ac:dyDescent="0.15">
      <c r="O42" s="178"/>
    </row>
    <row r="43" spans="1:15" ht="24.75" customHeight="1" x14ac:dyDescent="0.15">
      <c r="A43" s="172" t="s">
        <v>306</v>
      </c>
      <c r="O43" s="178"/>
    </row>
    <row r="44" spans="1:15" ht="24.75" customHeight="1" x14ac:dyDescent="0.15">
      <c r="A44" s="234" t="s">
        <v>301</v>
      </c>
      <c r="B44" s="234"/>
      <c r="C44" s="234"/>
      <c r="D44" s="234"/>
      <c r="E44" s="234"/>
      <c r="F44" s="243" t="s">
        <v>302</v>
      </c>
      <c r="G44" s="243"/>
      <c r="H44" s="244" t="s">
        <v>307</v>
      </c>
      <c r="I44" s="244"/>
      <c r="J44" s="244"/>
      <c r="K44" s="244"/>
      <c r="L44" s="244"/>
      <c r="O44" s="178"/>
    </row>
    <row r="45" spans="1:15" ht="115.5" customHeight="1" x14ac:dyDescent="0.15">
      <c r="A45" s="247" t="s">
        <v>308</v>
      </c>
      <c r="B45" s="247"/>
      <c r="C45" s="247"/>
      <c r="D45" s="247"/>
      <c r="E45" s="247"/>
      <c r="F45" s="248" t="s">
        <v>309</v>
      </c>
      <c r="G45" s="248"/>
      <c r="H45" s="249"/>
      <c r="I45" s="249"/>
      <c r="J45" s="249"/>
      <c r="K45" s="249"/>
      <c r="L45" s="249"/>
    </row>
    <row r="46" spans="1:15" ht="115.5" customHeight="1" x14ac:dyDescent="0.15">
      <c r="A46" s="250" t="s">
        <v>310</v>
      </c>
      <c r="B46" s="250"/>
      <c r="C46" s="250"/>
      <c r="D46" s="250"/>
      <c r="E46" s="250"/>
      <c r="F46" s="251" t="s">
        <v>311</v>
      </c>
      <c r="G46" s="251"/>
      <c r="H46" s="252"/>
      <c r="I46" s="252"/>
      <c r="J46" s="252"/>
      <c r="K46" s="252"/>
      <c r="L46" s="252"/>
    </row>
    <row r="47" spans="1:15" ht="115.5" customHeight="1" x14ac:dyDescent="0.15">
      <c r="A47" s="250"/>
      <c r="B47" s="250"/>
      <c r="C47" s="250"/>
      <c r="D47" s="250"/>
      <c r="E47" s="250"/>
      <c r="F47" s="251"/>
      <c r="G47" s="251"/>
      <c r="H47" s="252"/>
      <c r="I47" s="252"/>
      <c r="J47" s="252"/>
      <c r="K47" s="252"/>
      <c r="L47" s="252"/>
    </row>
    <row r="49" spans="1:15" ht="24.75" customHeight="1" x14ac:dyDescent="0.15">
      <c r="A49" s="172" t="s">
        <v>312</v>
      </c>
      <c r="O49" s="178"/>
    </row>
    <row r="50" spans="1:15" ht="24.75" customHeight="1" x14ac:dyDescent="0.15">
      <c r="A50" s="253" t="s">
        <v>301</v>
      </c>
      <c r="B50" s="253"/>
      <c r="C50" s="253"/>
      <c r="D50" s="253"/>
      <c r="E50" s="253"/>
      <c r="F50" s="254" t="s">
        <v>313</v>
      </c>
      <c r="G50" s="254"/>
      <c r="H50" s="255" t="s">
        <v>314</v>
      </c>
      <c r="I50" s="255"/>
      <c r="J50" s="256" t="s">
        <v>315</v>
      </c>
      <c r="K50" s="256"/>
      <c r="L50" s="256"/>
      <c r="M50" s="256"/>
      <c r="N50" s="256"/>
      <c r="O50" s="178"/>
    </row>
    <row r="51" spans="1:15" ht="66.75" customHeight="1" x14ac:dyDescent="0.15">
      <c r="A51" s="257"/>
      <c r="B51" s="257"/>
      <c r="C51" s="257"/>
      <c r="D51" s="257"/>
      <c r="E51" s="257"/>
      <c r="F51" s="258"/>
      <c r="G51" s="258"/>
      <c r="H51" s="259"/>
      <c r="I51" s="259"/>
      <c r="J51" s="260"/>
      <c r="K51" s="260"/>
      <c r="L51" s="260"/>
      <c r="M51" s="260"/>
      <c r="N51" s="260"/>
    </row>
    <row r="52" spans="1:15" ht="66.75" customHeight="1" x14ac:dyDescent="0.15">
      <c r="A52" s="236"/>
      <c r="B52" s="236"/>
      <c r="C52" s="236"/>
      <c r="D52" s="236"/>
      <c r="E52" s="236"/>
      <c r="F52" s="261"/>
      <c r="G52" s="261"/>
      <c r="H52" s="262"/>
      <c r="I52" s="262"/>
      <c r="J52" s="237"/>
      <c r="K52" s="237"/>
      <c r="L52" s="237"/>
      <c r="M52" s="237"/>
      <c r="N52" s="237"/>
    </row>
    <row r="53" spans="1:15" ht="24.75" customHeight="1" x14ac:dyDescent="0.15">
      <c r="A53" s="236"/>
      <c r="B53" s="236"/>
      <c r="C53" s="236"/>
      <c r="D53" s="236"/>
      <c r="E53" s="236"/>
      <c r="F53" s="261"/>
      <c r="G53" s="261"/>
      <c r="H53" s="262"/>
      <c r="I53" s="262"/>
      <c r="J53" s="237"/>
      <c r="K53" s="237"/>
      <c r="L53" s="237"/>
      <c r="M53" s="237"/>
      <c r="N53" s="237"/>
    </row>
    <row r="54" spans="1:15" x14ac:dyDescent="0.15">
      <c r="A54" s="172" t="s">
        <v>316</v>
      </c>
    </row>
    <row r="55" spans="1:15" x14ac:dyDescent="0.15">
      <c r="A55" s="234" t="s">
        <v>301</v>
      </c>
      <c r="B55" s="234"/>
      <c r="C55" s="234"/>
      <c r="D55" s="234"/>
      <c r="E55" s="234"/>
      <c r="F55" s="243" t="s">
        <v>302</v>
      </c>
      <c r="G55" s="243"/>
      <c r="H55" s="244" t="s">
        <v>303</v>
      </c>
      <c r="I55" s="244"/>
      <c r="J55" s="244"/>
      <c r="K55" s="244"/>
      <c r="L55" s="244"/>
    </row>
    <row r="56" spans="1:15" ht="13.5" customHeight="1" x14ac:dyDescent="0.15">
      <c r="A56" s="263"/>
      <c r="B56" s="263"/>
      <c r="C56" s="263"/>
      <c r="D56" s="263"/>
      <c r="E56" s="263"/>
      <c r="F56" s="264"/>
      <c r="G56" s="264"/>
      <c r="H56" s="242"/>
      <c r="I56" s="242"/>
      <c r="J56" s="242"/>
      <c r="K56" s="242"/>
      <c r="L56" s="242"/>
    </row>
    <row r="57" spans="1:15" ht="32.25" customHeight="1" x14ac:dyDescent="0.15">
      <c r="A57" s="263"/>
      <c r="B57" s="263"/>
      <c r="C57" s="263"/>
      <c r="D57" s="263"/>
      <c r="E57" s="263"/>
      <c r="F57" s="264"/>
      <c r="G57" s="264"/>
      <c r="H57" s="242"/>
      <c r="I57" s="242"/>
      <c r="J57" s="242"/>
      <c r="K57" s="242"/>
      <c r="L57" s="242"/>
    </row>
    <row r="58" spans="1:15" x14ac:dyDescent="0.15">
      <c r="A58" s="263"/>
      <c r="B58" s="263"/>
      <c r="C58" s="263"/>
      <c r="D58" s="263"/>
      <c r="E58" s="263"/>
      <c r="F58" s="264"/>
      <c r="G58" s="264"/>
      <c r="H58" s="242"/>
      <c r="I58" s="242"/>
      <c r="J58" s="242"/>
      <c r="K58" s="242"/>
      <c r="L58" s="242"/>
    </row>
  </sheetData>
  <mergeCells count="100">
    <mergeCell ref="A57:E57"/>
    <mergeCell ref="F57:G57"/>
    <mergeCell ref="H57:L57"/>
    <mergeCell ref="A58:E58"/>
    <mergeCell ref="F58:G58"/>
    <mergeCell ref="H58:L58"/>
    <mergeCell ref="A55:E55"/>
    <mergeCell ref="F55:G55"/>
    <mergeCell ref="H55:L55"/>
    <mergeCell ref="A56:E56"/>
    <mergeCell ref="F56:G56"/>
    <mergeCell ref="H56:L56"/>
    <mergeCell ref="A52:E52"/>
    <mergeCell ref="F52:G52"/>
    <mergeCell ref="H52:I52"/>
    <mergeCell ref="J52:N52"/>
    <mergeCell ref="A53:E53"/>
    <mergeCell ref="F53:G53"/>
    <mergeCell ref="H53:I53"/>
    <mergeCell ref="J53:N53"/>
    <mergeCell ref="A50:E50"/>
    <mergeCell ref="F50:G50"/>
    <mergeCell ref="H50:I50"/>
    <mergeCell ref="J50:N50"/>
    <mergeCell ref="A51:E51"/>
    <mergeCell ref="F51:G51"/>
    <mergeCell ref="H51:I51"/>
    <mergeCell ref="J51:N51"/>
    <mergeCell ref="A46:E46"/>
    <mergeCell ref="F46:G46"/>
    <mergeCell ref="H46:L46"/>
    <mergeCell ref="A47:E47"/>
    <mergeCell ref="F47:G47"/>
    <mergeCell ref="H47:L47"/>
    <mergeCell ref="A44:E44"/>
    <mergeCell ref="F44:G44"/>
    <mergeCell ref="H44:L44"/>
    <mergeCell ref="A45:E45"/>
    <mergeCell ref="F45:G45"/>
    <mergeCell ref="H45:L45"/>
    <mergeCell ref="A40:E40"/>
    <mergeCell ref="F40:G40"/>
    <mergeCell ref="H40:L40"/>
    <mergeCell ref="A41:E41"/>
    <mergeCell ref="F41:G41"/>
    <mergeCell ref="H41:L41"/>
    <mergeCell ref="A38:E38"/>
    <mergeCell ref="F38:G38"/>
    <mergeCell ref="H38:L38"/>
    <mergeCell ref="A39:E39"/>
    <mergeCell ref="F39:G39"/>
    <mergeCell ref="H39:L39"/>
    <mergeCell ref="A33:E33"/>
    <mergeCell ref="F33:J33"/>
    <mergeCell ref="A34:E34"/>
    <mergeCell ref="F34:J34"/>
    <mergeCell ref="A35:E35"/>
    <mergeCell ref="F35:J35"/>
    <mergeCell ref="A30:E30"/>
    <mergeCell ref="F30:J30"/>
    <mergeCell ref="A31:E31"/>
    <mergeCell ref="F31:J31"/>
    <mergeCell ref="A32:E32"/>
    <mergeCell ref="F32:J32"/>
    <mergeCell ref="A25:E25"/>
    <mergeCell ref="F25:J25"/>
    <mergeCell ref="A26:E26"/>
    <mergeCell ref="F26:J26"/>
    <mergeCell ref="A27:E27"/>
    <mergeCell ref="F27:J27"/>
    <mergeCell ref="B19:F19"/>
    <mergeCell ref="G19:K19"/>
    <mergeCell ref="B20:F20"/>
    <mergeCell ref="G20:K20"/>
    <mergeCell ref="B21:F21"/>
    <mergeCell ref="G21:K21"/>
    <mergeCell ref="B16:F16"/>
    <mergeCell ref="G16:K16"/>
    <mergeCell ref="B17:F17"/>
    <mergeCell ref="G17:K17"/>
    <mergeCell ref="B18:F18"/>
    <mergeCell ref="G18:K18"/>
    <mergeCell ref="B13:F13"/>
    <mergeCell ref="G13:K13"/>
    <mergeCell ref="B14:F14"/>
    <mergeCell ref="G14:K14"/>
    <mergeCell ref="B15:F15"/>
    <mergeCell ref="G15:K15"/>
    <mergeCell ref="B10:F10"/>
    <mergeCell ref="G10:K10"/>
    <mergeCell ref="B11:F11"/>
    <mergeCell ref="G11:K11"/>
    <mergeCell ref="B12:F12"/>
    <mergeCell ref="G12:K12"/>
    <mergeCell ref="B7:F7"/>
    <mergeCell ref="G7:K7"/>
    <mergeCell ref="B8:F8"/>
    <mergeCell ref="G8:K8"/>
    <mergeCell ref="B9:F9"/>
    <mergeCell ref="G9:K9"/>
  </mergeCells>
  <pageMargins left="0.74791666666666701" right="0.74791666666666701" top="0.98402777777777795" bottom="0.98402777777777795" header="0.51180555555555496" footer="0.51180555555555496"/>
  <pageSetup firstPageNumber="0" fitToHeight="3"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58"/>
  <sheetViews>
    <sheetView tabSelected="1" topLeftCell="A9" zoomScaleNormal="100" workbookViewId="0">
      <selection activeCell="G10" sqref="G10:K10"/>
    </sheetView>
  </sheetViews>
  <sheetFormatPr baseColWidth="10" defaultColWidth="8.83203125" defaultRowHeight="13" x14ac:dyDescent="0.15"/>
  <cols>
    <col min="1" max="1" width="14.5" customWidth="1"/>
    <col min="2" max="2" width="22.83203125" customWidth="1"/>
  </cols>
  <sheetData>
    <row r="1" spans="1:14" x14ac:dyDescent="0.15">
      <c r="A1" s="101" t="s">
        <v>0</v>
      </c>
      <c r="B1" s="102"/>
    </row>
    <row r="2" spans="1:14" x14ac:dyDescent="0.15">
      <c r="A2" s="170" t="s">
        <v>2</v>
      </c>
      <c r="B2" s="171" t="str">
        <f>Metrics!B3</f>
        <v>Tier-1</v>
      </c>
    </row>
    <row r="3" spans="1:14" x14ac:dyDescent="0.15">
      <c r="A3" s="8" t="s">
        <v>5</v>
      </c>
      <c r="B3" s="9" t="str">
        <f>Metrics!B4</f>
        <v>Q1 2020</v>
      </c>
    </row>
    <row r="4" spans="1:14" x14ac:dyDescent="0.15">
      <c r="A4" s="15" t="s">
        <v>8</v>
      </c>
      <c r="B4" s="16" t="str">
        <f>Metrics!B5</f>
        <v>Darren Moore</v>
      </c>
    </row>
    <row r="6" spans="1:14" x14ac:dyDescent="0.15">
      <c r="A6" s="172" t="s">
        <v>261</v>
      </c>
    </row>
    <row r="7" spans="1:14" ht="16.5" customHeight="1" thickBot="1" x14ac:dyDescent="0.2">
      <c r="A7" s="173" t="s">
        <v>239</v>
      </c>
      <c r="B7" s="219" t="s">
        <v>262</v>
      </c>
      <c r="C7" s="219"/>
      <c r="D7" s="219"/>
      <c r="E7" s="219"/>
      <c r="F7" s="219"/>
      <c r="G7" s="220" t="s">
        <v>263</v>
      </c>
      <c r="H7" s="220"/>
      <c r="I7" s="220"/>
      <c r="J7" s="220"/>
      <c r="K7" s="220"/>
    </row>
    <row r="8" spans="1:14" ht="122.25" customHeight="1" x14ac:dyDescent="0.15">
      <c r="A8" s="174" t="s">
        <v>264</v>
      </c>
      <c r="B8" s="221" t="s">
        <v>330</v>
      </c>
      <c r="C8" s="221"/>
      <c r="D8" s="221"/>
      <c r="E8" s="221"/>
      <c r="F8" s="221"/>
      <c r="G8" s="222" t="s">
        <v>332</v>
      </c>
      <c r="H8" s="222"/>
      <c r="I8" s="222"/>
      <c r="J8" s="222"/>
      <c r="K8" s="222"/>
      <c r="N8" s="175"/>
    </row>
    <row r="9" spans="1:14" ht="217.5" customHeight="1" x14ac:dyDescent="0.15">
      <c r="A9" s="176" t="s">
        <v>252</v>
      </c>
      <c r="B9" s="223"/>
      <c r="C9" s="223"/>
      <c r="D9" s="223"/>
      <c r="E9" s="223"/>
      <c r="F9" s="223"/>
      <c r="G9" s="265" t="s">
        <v>333</v>
      </c>
      <c r="H9" s="266"/>
      <c r="I9" s="266"/>
      <c r="J9" s="266"/>
      <c r="K9" s="267"/>
    </row>
    <row r="10" spans="1:14" ht="143.25" customHeight="1" x14ac:dyDescent="0.15">
      <c r="A10" s="176" t="s">
        <v>266</v>
      </c>
      <c r="B10" s="223"/>
      <c r="C10" s="223"/>
      <c r="D10" s="223"/>
      <c r="E10" s="223"/>
      <c r="F10" s="223"/>
      <c r="G10" s="224"/>
      <c r="H10" s="224"/>
      <c r="I10" s="224"/>
      <c r="J10" s="224"/>
      <c r="K10" s="224"/>
    </row>
    <row r="11" spans="1:14" ht="241.5" customHeight="1" x14ac:dyDescent="0.15">
      <c r="A11" s="176" t="s">
        <v>267</v>
      </c>
      <c r="B11" s="223"/>
      <c r="C11" s="223"/>
      <c r="D11" s="223"/>
      <c r="E11" s="223"/>
      <c r="F11" s="223"/>
      <c r="G11" s="224"/>
      <c r="H11" s="224"/>
      <c r="I11" s="224"/>
      <c r="J11" s="224"/>
      <c r="K11" s="224"/>
    </row>
    <row r="12" spans="1:14" ht="351.75" customHeight="1" x14ac:dyDescent="0.15">
      <c r="A12" s="176" t="s">
        <v>268</v>
      </c>
      <c r="B12" s="223"/>
      <c r="C12" s="223"/>
      <c r="D12" s="223"/>
      <c r="E12" s="223"/>
      <c r="F12" s="223"/>
      <c r="G12" s="225"/>
      <c r="H12" s="225"/>
      <c r="I12" s="225"/>
      <c r="J12" s="225"/>
      <c r="K12" s="225"/>
    </row>
    <row r="13" spans="1:14" ht="309" customHeight="1" x14ac:dyDescent="0.15">
      <c r="A13" s="176" t="s">
        <v>270</v>
      </c>
      <c r="B13" s="226"/>
      <c r="C13" s="226"/>
      <c r="D13" s="226"/>
      <c r="E13" s="226"/>
      <c r="F13" s="226"/>
      <c r="G13" s="225"/>
      <c r="H13" s="225"/>
      <c r="I13" s="225"/>
      <c r="J13" s="225"/>
      <c r="K13" s="225"/>
    </row>
    <row r="14" spans="1:14" ht="129.75" customHeight="1" x14ac:dyDescent="0.15">
      <c r="A14" s="176" t="s">
        <v>271</v>
      </c>
      <c r="B14" s="223" t="s">
        <v>272</v>
      </c>
      <c r="C14" s="223"/>
      <c r="D14" s="223"/>
      <c r="E14" s="223"/>
      <c r="F14" s="223"/>
      <c r="G14" s="225"/>
      <c r="H14" s="225"/>
      <c r="I14" s="225"/>
      <c r="J14" s="225"/>
      <c r="K14" s="225"/>
    </row>
    <row r="15" spans="1:14" ht="176.25" customHeight="1" x14ac:dyDescent="0.15">
      <c r="A15" s="176" t="s">
        <v>273</v>
      </c>
      <c r="B15" s="223"/>
      <c r="C15" s="223"/>
      <c r="D15" s="223"/>
      <c r="E15" s="223"/>
      <c r="F15" s="223"/>
      <c r="G15" s="227"/>
      <c r="H15" s="227"/>
      <c r="I15" s="227"/>
      <c r="J15" s="227"/>
      <c r="K15" s="227"/>
    </row>
    <row r="16" spans="1:14" ht="212.25" customHeight="1" x14ac:dyDescent="0.15">
      <c r="A16" s="176" t="s">
        <v>274</v>
      </c>
      <c r="B16" s="223" t="s">
        <v>331</v>
      </c>
      <c r="C16" s="223"/>
      <c r="D16" s="223"/>
      <c r="E16" s="223"/>
      <c r="F16" s="223"/>
      <c r="G16" s="225"/>
      <c r="H16" s="225"/>
      <c r="I16" s="225"/>
      <c r="J16" s="225"/>
      <c r="K16" s="225"/>
    </row>
    <row r="17" spans="1:11" ht="409.5" customHeight="1" x14ac:dyDescent="0.15">
      <c r="A17" s="176" t="s">
        <v>275</v>
      </c>
      <c r="B17" s="223"/>
      <c r="C17" s="223"/>
      <c r="D17" s="223"/>
      <c r="E17" s="223"/>
      <c r="F17" s="223"/>
      <c r="G17" s="225"/>
      <c r="H17" s="225"/>
      <c r="I17" s="225"/>
      <c r="J17" s="225"/>
      <c r="K17" s="225"/>
    </row>
    <row r="18" spans="1:11" ht="248.25" customHeight="1" x14ac:dyDescent="0.15">
      <c r="A18" s="177" t="s">
        <v>278</v>
      </c>
      <c r="B18" s="228"/>
      <c r="C18" s="228"/>
      <c r="D18" s="228"/>
      <c r="E18" s="228"/>
      <c r="F18" s="228"/>
      <c r="G18" s="229"/>
      <c r="H18" s="229"/>
      <c r="I18" s="229"/>
      <c r="J18" s="229"/>
      <c r="K18" s="229"/>
    </row>
    <row r="19" spans="1:11" ht="146.25" customHeight="1" x14ac:dyDescent="0.15">
      <c r="A19" s="177" t="s">
        <v>279</v>
      </c>
      <c r="B19" s="230"/>
      <c r="C19" s="230"/>
      <c r="D19" s="230"/>
      <c r="E19" s="230"/>
      <c r="F19" s="230"/>
      <c r="G19" s="231"/>
      <c r="H19" s="231"/>
      <c r="I19" s="231"/>
      <c r="J19" s="231"/>
      <c r="K19" s="231"/>
    </row>
    <row r="20" spans="1:11" ht="146.25" customHeight="1" x14ac:dyDescent="0.15">
      <c r="A20" s="177" t="s">
        <v>280</v>
      </c>
      <c r="B20" s="232" t="s">
        <v>281</v>
      </c>
      <c r="C20" s="232"/>
      <c r="D20" s="232"/>
      <c r="E20" s="232"/>
      <c r="F20" s="232"/>
      <c r="G20" s="233"/>
      <c r="H20" s="233"/>
      <c r="I20" s="233"/>
      <c r="J20" s="233"/>
      <c r="K20" s="233"/>
    </row>
    <row r="21" spans="1:11" ht="180" customHeight="1" x14ac:dyDescent="0.15">
      <c r="A21" s="177" t="s">
        <v>282</v>
      </c>
      <c r="B21" s="228"/>
      <c r="C21" s="228"/>
      <c r="D21" s="228"/>
      <c r="E21" s="228"/>
      <c r="F21" s="228"/>
      <c r="G21" s="229"/>
      <c r="H21" s="229"/>
      <c r="I21" s="229"/>
      <c r="J21" s="229"/>
      <c r="K21" s="229"/>
    </row>
    <row r="22" spans="1:11" x14ac:dyDescent="0.15">
      <c r="A22" t="s">
        <v>283</v>
      </c>
    </row>
    <row r="24" spans="1:11" x14ac:dyDescent="0.15">
      <c r="A24" s="172" t="s">
        <v>284</v>
      </c>
    </row>
    <row r="25" spans="1:11" x14ac:dyDescent="0.15">
      <c r="A25" s="234" t="s">
        <v>285</v>
      </c>
      <c r="B25" s="234"/>
      <c r="C25" s="234"/>
      <c r="D25" s="234"/>
      <c r="E25" s="234"/>
      <c r="F25" s="235" t="s">
        <v>286</v>
      </c>
      <c r="G25" s="235"/>
      <c r="H25" s="235"/>
      <c r="I25" s="235"/>
      <c r="J25" s="235"/>
    </row>
    <row r="26" spans="1:11" ht="81" customHeight="1" x14ac:dyDescent="0.15">
      <c r="A26" s="236" t="s">
        <v>287</v>
      </c>
      <c r="B26" s="236"/>
      <c r="C26" s="236"/>
      <c r="D26" s="236"/>
      <c r="E26" s="236"/>
      <c r="F26" s="237" t="s">
        <v>288</v>
      </c>
      <c r="G26" s="237"/>
      <c r="H26" s="237"/>
      <c r="I26" s="237"/>
      <c r="J26" s="237"/>
    </row>
    <row r="27" spans="1:11" x14ac:dyDescent="0.15">
      <c r="A27" s="238"/>
      <c r="B27" s="238"/>
      <c r="C27" s="238"/>
      <c r="D27" s="238"/>
      <c r="E27" s="238"/>
      <c r="F27" s="239"/>
      <c r="G27" s="239"/>
      <c r="H27" s="239"/>
      <c r="I27" s="239"/>
      <c r="J27" s="239"/>
    </row>
    <row r="29" spans="1:11" x14ac:dyDescent="0.15">
      <c r="A29" s="172" t="s">
        <v>289</v>
      </c>
    </row>
    <row r="30" spans="1:11" x14ac:dyDescent="0.15">
      <c r="A30" s="234" t="s">
        <v>285</v>
      </c>
      <c r="B30" s="234"/>
      <c r="C30" s="234"/>
      <c r="D30" s="234"/>
      <c r="E30" s="234"/>
      <c r="F30" s="235" t="s">
        <v>286</v>
      </c>
      <c r="G30" s="235"/>
      <c r="H30" s="235"/>
      <c r="I30" s="235"/>
      <c r="J30" s="235"/>
    </row>
    <row r="31" spans="1:11" ht="93" customHeight="1" x14ac:dyDescent="0.15">
      <c r="A31" s="236" t="s">
        <v>290</v>
      </c>
      <c r="B31" s="236"/>
      <c r="C31" s="236"/>
      <c r="D31" s="236"/>
      <c r="E31" s="236"/>
      <c r="F31" s="240" t="s">
        <v>291</v>
      </c>
      <c r="G31" s="240"/>
      <c r="H31" s="240"/>
      <c r="I31" s="240"/>
      <c r="J31" s="240"/>
    </row>
    <row r="32" spans="1:11" ht="118.5" customHeight="1" x14ac:dyDescent="0.15">
      <c r="A32" s="236" t="s">
        <v>292</v>
      </c>
      <c r="B32" s="236"/>
      <c r="C32" s="236"/>
      <c r="D32" s="236"/>
      <c r="E32" s="236"/>
      <c r="F32" s="240" t="s">
        <v>293</v>
      </c>
      <c r="G32" s="240"/>
      <c r="H32" s="240"/>
      <c r="I32" s="240"/>
      <c r="J32" s="240"/>
    </row>
    <row r="33" spans="1:15" ht="93" customHeight="1" x14ac:dyDescent="0.15">
      <c r="A33" s="236" t="s">
        <v>294</v>
      </c>
      <c r="B33" s="236"/>
      <c r="C33" s="236"/>
      <c r="D33" s="236"/>
      <c r="E33" s="236"/>
      <c r="F33" s="240" t="s">
        <v>295</v>
      </c>
      <c r="G33" s="240"/>
      <c r="H33" s="240"/>
      <c r="I33" s="240"/>
      <c r="J33" s="240"/>
    </row>
    <row r="34" spans="1:15" ht="93" customHeight="1" x14ac:dyDescent="0.15">
      <c r="A34" s="236" t="s">
        <v>296</v>
      </c>
      <c r="B34" s="236"/>
      <c r="C34" s="236"/>
      <c r="D34" s="236"/>
      <c r="E34" s="236"/>
      <c r="F34" s="240" t="s">
        <v>297</v>
      </c>
      <c r="G34" s="240"/>
      <c r="H34" s="240"/>
      <c r="I34" s="240"/>
      <c r="J34" s="240"/>
    </row>
    <row r="35" spans="1:15" ht="135" customHeight="1" x14ac:dyDescent="0.15">
      <c r="A35" s="241" t="s">
        <v>298</v>
      </c>
      <c r="B35" s="241"/>
      <c r="C35" s="241"/>
      <c r="D35" s="241"/>
      <c r="E35" s="241"/>
      <c r="F35" s="242" t="s">
        <v>299</v>
      </c>
      <c r="G35" s="242"/>
      <c r="H35" s="242"/>
      <c r="I35" s="242"/>
      <c r="J35" s="242"/>
    </row>
    <row r="37" spans="1:15" x14ac:dyDescent="0.15">
      <c r="A37" s="172" t="s">
        <v>300</v>
      </c>
    </row>
    <row r="38" spans="1:15" x14ac:dyDescent="0.15">
      <c r="A38" s="234" t="s">
        <v>301</v>
      </c>
      <c r="B38" s="234"/>
      <c r="C38" s="234"/>
      <c r="D38" s="234"/>
      <c r="E38" s="234"/>
      <c r="F38" s="243" t="s">
        <v>302</v>
      </c>
      <c r="G38" s="243"/>
      <c r="H38" s="244" t="s">
        <v>303</v>
      </c>
      <c r="I38" s="244"/>
      <c r="J38" s="244"/>
      <c r="K38" s="244"/>
      <c r="L38" s="244"/>
    </row>
    <row r="39" spans="1:15" ht="115.5" customHeight="1" x14ac:dyDescent="0.15">
      <c r="A39" s="245" t="s">
        <v>304</v>
      </c>
      <c r="B39" s="245"/>
      <c r="C39" s="245"/>
      <c r="D39" s="245"/>
      <c r="E39" s="245"/>
      <c r="F39" s="246" t="s">
        <v>305</v>
      </c>
      <c r="G39" s="246"/>
      <c r="H39" s="237" t="s">
        <v>224</v>
      </c>
      <c r="I39" s="237"/>
      <c r="J39" s="237"/>
      <c r="K39" s="237"/>
      <c r="L39" s="237"/>
    </row>
    <row r="40" spans="1:15" ht="115.5" customHeight="1" x14ac:dyDescent="0.15">
      <c r="A40" s="247"/>
      <c r="B40" s="247"/>
      <c r="C40" s="247"/>
      <c r="D40" s="247"/>
      <c r="E40" s="247"/>
      <c r="F40" s="248"/>
      <c r="G40" s="248"/>
      <c r="H40" s="249"/>
      <c r="I40" s="249"/>
      <c r="J40" s="249"/>
      <c r="K40" s="249"/>
      <c r="L40" s="249"/>
    </row>
    <row r="41" spans="1:15" ht="115.5" customHeight="1" x14ac:dyDescent="0.15">
      <c r="A41" s="250"/>
      <c r="B41" s="250"/>
      <c r="C41" s="250"/>
      <c r="D41" s="250"/>
      <c r="E41" s="250"/>
      <c r="F41" s="251"/>
      <c r="G41" s="251"/>
      <c r="H41" s="252"/>
      <c r="I41" s="252"/>
      <c r="J41" s="252"/>
      <c r="K41" s="252"/>
      <c r="L41" s="252"/>
    </row>
    <row r="42" spans="1:15" ht="24.75" customHeight="1" x14ac:dyDescent="0.15">
      <c r="O42" s="178"/>
    </row>
    <row r="43" spans="1:15" ht="24.75" customHeight="1" x14ac:dyDescent="0.15">
      <c r="A43" s="172" t="s">
        <v>306</v>
      </c>
      <c r="O43" s="178"/>
    </row>
    <row r="44" spans="1:15" ht="24.75" customHeight="1" x14ac:dyDescent="0.15">
      <c r="A44" s="234" t="s">
        <v>301</v>
      </c>
      <c r="B44" s="234"/>
      <c r="C44" s="234"/>
      <c r="D44" s="234"/>
      <c r="E44" s="234"/>
      <c r="F44" s="243" t="s">
        <v>302</v>
      </c>
      <c r="G44" s="243"/>
      <c r="H44" s="244" t="s">
        <v>307</v>
      </c>
      <c r="I44" s="244"/>
      <c r="J44" s="244"/>
      <c r="K44" s="244"/>
      <c r="L44" s="244"/>
      <c r="O44" s="178"/>
    </row>
    <row r="45" spans="1:15" ht="115.5" customHeight="1" x14ac:dyDescent="0.15">
      <c r="A45" s="247" t="s">
        <v>308</v>
      </c>
      <c r="B45" s="247"/>
      <c r="C45" s="247"/>
      <c r="D45" s="247"/>
      <c r="E45" s="247"/>
      <c r="F45" s="248" t="s">
        <v>309</v>
      </c>
      <c r="G45" s="248"/>
      <c r="H45" s="249"/>
      <c r="I45" s="249"/>
      <c r="J45" s="249"/>
      <c r="K45" s="249"/>
      <c r="L45" s="249"/>
    </row>
    <row r="46" spans="1:15" ht="115.5" customHeight="1" x14ac:dyDescent="0.15">
      <c r="A46" s="250" t="s">
        <v>310</v>
      </c>
      <c r="B46" s="250"/>
      <c r="C46" s="250"/>
      <c r="D46" s="250"/>
      <c r="E46" s="250"/>
      <c r="F46" s="251" t="s">
        <v>311</v>
      </c>
      <c r="G46" s="251"/>
      <c r="H46" s="252"/>
      <c r="I46" s="252"/>
      <c r="J46" s="252"/>
      <c r="K46" s="252"/>
      <c r="L46" s="252"/>
    </row>
    <row r="47" spans="1:15" ht="115.5" customHeight="1" x14ac:dyDescent="0.15">
      <c r="A47" s="250"/>
      <c r="B47" s="250"/>
      <c r="C47" s="250"/>
      <c r="D47" s="250"/>
      <c r="E47" s="250"/>
      <c r="F47" s="251"/>
      <c r="G47" s="251"/>
      <c r="H47" s="252"/>
      <c r="I47" s="252"/>
      <c r="J47" s="252"/>
      <c r="K47" s="252"/>
      <c r="L47" s="252"/>
    </row>
    <row r="49" spans="1:15" ht="24.75" customHeight="1" x14ac:dyDescent="0.15">
      <c r="A49" s="172" t="s">
        <v>312</v>
      </c>
      <c r="O49" s="178"/>
    </row>
    <row r="50" spans="1:15" ht="24.75" customHeight="1" x14ac:dyDescent="0.15">
      <c r="A50" s="253" t="s">
        <v>301</v>
      </c>
      <c r="B50" s="253"/>
      <c r="C50" s="253"/>
      <c r="D50" s="253"/>
      <c r="E50" s="253"/>
      <c r="F50" s="254" t="s">
        <v>313</v>
      </c>
      <c r="G50" s="254"/>
      <c r="H50" s="255" t="s">
        <v>314</v>
      </c>
      <c r="I50" s="255"/>
      <c r="J50" s="256" t="s">
        <v>315</v>
      </c>
      <c r="K50" s="256"/>
      <c r="L50" s="256"/>
      <c r="M50" s="256"/>
      <c r="N50" s="256"/>
      <c r="O50" s="178"/>
    </row>
    <row r="51" spans="1:15" ht="66.75" customHeight="1" x14ac:dyDescent="0.15">
      <c r="A51" s="257"/>
      <c r="B51" s="257"/>
      <c r="C51" s="257"/>
      <c r="D51" s="257"/>
      <c r="E51" s="257"/>
      <c r="F51" s="258"/>
      <c r="G51" s="258"/>
      <c r="H51" s="259"/>
      <c r="I51" s="259"/>
      <c r="J51" s="260"/>
      <c r="K51" s="260"/>
      <c r="L51" s="260"/>
      <c r="M51" s="260"/>
      <c r="N51" s="260"/>
    </row>
    <row r="52" spans="1:15" ht="66.75" customHeight="1" x14ac:dyDescent="0.15">
      <c r="A52" s="236"/>
      <c r="B52" s="236"/>
      <c r="C52" s="236"/>
      <c r="D52" s="236"/>
      <c r="E52" s="236"/>
      <c r="F52" s="261"/>
      <c r="G52" s="261"/>
      <c r="H52" s="262"/>
      <c r="I52" s="262"/>
      <c r="J52" s="237"/>
      <c r="K52" s="237"/>
      <c r="L52" s="237"/>
      <c r="M52" s="237"/>
      <c r="N52" s="237"/>
    </row>
    <row r="53" spans="1:15" ht="24.75" customHeight="1" x14ac:dyDescent="0.15">
      <c r="A53" s="236"/>
      <c r="B53" s="236"/>
      <c r="C53" s="236"/>
      <c r="D53" s="236"/>
      <c r="E53" s="236"/>
      <c r="F53" s="261"/>
      <c r="G53" s="261"/>
      <c r="H53" s="262"/>
      <c r="I53" s="262"/>
      <c r="J53" s="237"/>
      <c r="K53" s="237"/>
      <c r="L53" s="237"/>
      <c r="M53" s="237"/>
      <c r="N53" s="237"/>
    </row>
    <row r="54" spans="1:15" x14ac:dyDescent="0.15">
      <c r="A54" s="172" t="s">
        <v>316</v>
      </c>
    </row>
    <row r="55" spans="1:15" x14ac:dyDescent="0.15">
      <c r="A55" s="234" t="s">
        <v>301</v>
      </c>
      <c r="B55" s="234"/>
      <c r="C55" s="234"/>
      <c r="D55" s="234"/>
      <c r="E55" s="234"/>
      <c r="F55" s="243" t="s">
        <v>302</v>
      </c>
      <c r="G55" s="243"/>
      <c r="H55" s="244" t="s">
        <v>303</v>
      </c>
      <c r="I55" s="244"/>
      <c r="J55" s="244"/>
      <c r="K55" s="244"/>
      <c r="L55" s="244"/>
    </row>
    <row r="56" spans="1:15" ht="13.5" customHeight="1" x14ac:dyDescent="0.15">
      <c r="A56" s="263"/>
      <c r="B56" s="263"/>
      <c r="C56" s="263"/>
      <c r="D56" s="263"/>
      <c r="E56" s="263"/>
      <c r="F56" s="264"/>
      <c r="G56" s="264"/>
      <c r="H56" s="242"/>
      <c r="I56" s="242"/>
      <c r="J56" s="242"/>
      <c r="K56" s="242"/>
      <c r="L56" s="242"/>
    </row>
    <row r="57" spans="1:15" ht="32.25" customHeight="1" x14ac:dyDescent="0.15">
      <c r="A57" s="263"/>
      <c r="B57" s="263"/>
      <c r="C57" s="263"/>
      <c r="D57" s="263"/>
      <c r="E57" s="263"/>
      <c r="F57" s="264"/>
      <c r="G57" s="264"/>
      <c r="H57" s="242"/>
      <c r="I57" s="242"/>
      <c r="J57" s="242"/>
      <c r="K57" s="242"/>
      <c r="L57" s="242"/>
    </row>
    <row r="58" spans="1:15" x14ac:dyDescent="0.15">
      <c r="A58" s="263"/>
      <c r="B58" s="263"/>
      <c r="C58" s="263"/>
      <c r="D58" s="263"/>
      <c r="E58" s="263"/>
      <c r="F58" s="264"/>
      <c r="G58" s="264"/>
      <c r="H58" s="242"/>
      <c r="I58" s="242"/>
      <c r="J58" s="242"/>
      <c r="K58" s="242"/>
      <c r="L58" s="242"/>
    </row>
  </sheetData>
  <mergeCells count="100">
    <mergeCell ref="A57:E57"/>
    <mergeCell ref="F57:G57"/>
    <mergeCell ref="H57:L57"/>
    <mergeCell ref="A58:E58"/>
    <mergeCell ref="F58:G58"/>
    <mergeCell ref="H58:L58"/>
    <mergeCell ref="A55:E55"/>
    <mergeCell ref="F55:G55"/>
    <mergeCell ref="H55:L55"/>
    <mergeCell ref="A56:E56"/>
    <mergeCell ref="F56:G56"/>
    <mergeCell ref="H56:L56"/>
    <mergeCell ref="A52:E52"/>
    <mergeCell ref="F52:G52"/>
    <mergeCell ref="H52:I52"/>
    <mergeCell ref="J52:N52"/>
    <mergeCell ref="A53:E53"/>
    <mergeCell ref="F53:G53"/>
    <mergeCell ref="H53:I53"/>
    <mergeCell ref="J53:N53"/>
    <mergeCell ref="A50:E50"/>
    <mergeCell ref="F50:G50"/>
    <mergeCell ref="H50:I50"/>
    <mergeCell ref="J50:N50"/>
    <mergeCell ref="A51:E51"/>
    <mergeCell ref="F51:G51"/>
    <mergeCell ref="H51:I51"/>
    <mergeCell ref="J51:N51"/>
    <mergeCell ref="A46:E46"/>
    <mergeCell ref="F46:G46"/>
    <mergeCell ref="H46:L46"/>
    <mergeCell ref="A47:E47"/>
    <mergeCell ref="F47:G47"/>
    <mergeCell ref="H47:L47"/>
    <mergeCell ref="A44:E44"/>
    <mergeCell ref="F44:G44"/>
    <mergeCell ref="H44:L44"/>
    <mergeCell ref="A45:E45"/>
    <mergeCell ref="F45:G45"/>
    <mergeCell ref="H45:L45"/>
    <mergeCell ref="A40:E40"/>
    <mergeCell ref="F40:G40"/>
    <mergeCell ref="H40:L40"/>
    <mergeCell ref="A41:E41"/>
    <mergeCell ref="F41:G41"/>
    <mergeCell ref="H41:L41"/>
    <mergeCell ref="A38:E38"/>
    <mergeCell ref="F38:G38"/>
    <mergeCell ref="H38:L38"/>
    <mergeCell ref="A39:E39"/>
    <mergeCell ref="F39:G39"/>
    <mergeCell ref="H39:L39"/>
    <mergeCell ref="A33:E33"/>
    <mergeCell ref="F33:J33"/>
    <mergeCell ref="A34:E34"/>
    <mergeCell ref="F34:J34"/>
    <mergeCell ref="A35:E35"/>
    <mergeCell ref="F35:J35"/>
    <mergeCell ref="A30:E30"/>
    <mergeCell ref="F30:J30"/>
    <mergeCell ref="A31:E31"/>
    <mergeCell ref="F31:J31"/>
    <mergeCell ref="A32:E32"/>
    <mergeCell ref="F32:J32"/>
    <mergeCell ref="A25:E25"/>
    <mergeCell ref="F25:J25"/>
    <mergeCell ref="A26:E26"/>
    <mergeCell ref="F26:J26"/>
    <mergeCell ref="A27:E27"/>
    <mergeCell ref="F27:J27"/>
    <mergeCell ref="B19:F19"/>
    <mergeCell ref="G19:K19"/>
    <mergeCell ref="B20:F20"/>
    <mergeCell ref="G20:K20"/>
    <mergeCell ref="B21:F21"/>
    <mergeCell ref="G21:K21"/>
    <mergeCell ref="B16:F16"/>
    <mergeCell ref="G16:K16"/>
    <mergeCell ref="B17:F17"/>
    <mergeCell ref="G17:K17"/>
    <mergeCell ref="B18:F18"/>
    <mergeCell ref="G18:K18"/>
    <mergeCell ref="B13:F13"/>
    <mergeCell ref="G13:K13"/>
    <mergeCell ref="B14:F14"/>
    <mergeCell ref="G14:K14"/>
    <mergeCell ref="B15:F15"/>
    <mergeCell ref="G15:K15"/>
    <mergeCell ref="B10:F10"/>
    <mergeCell ref="G10:K10"/>
    <mergeCell ref="B11:F11"/>
    <mergeCell ref="G11:K11"/>
    <mergeCell ref="B12:F12"/>
    <mergeCell ref="G12:K12"/>
    <mergeCell ref="B7:F7"/>
    <mergeCell ref="G7:K7"/>
    <mergeCell ref="B8:F8"/>
    <mergeCell ref="G8:K8"/>
    <mergeCell ref="B9:F9"/>
    <mergeCell ref="G9:K9"/>
  </mergeCells>
  <pageMargins left="0.74791666666666701" right="0.74791666666666701" top="0.98402777777777795" bottom="0.98402777777777795" header="0.51180555555555496" footer="0.51180555555555496"/>
  <pageSetup firstPageNumber="0" fitToHeight="3"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29"/>
  <sheetViews>
    <sheetView zoomScaleNormal="100" workbookViewId="0">
      <selection activeCell="R19" sqref="R19"/>
    </sheetView>
  </sheetViews>
  <sheetFormatPr baseColWidth="10" defaultColWidth="8.83203125" defaultRowHeight="13" x14ac:dyDescent="0.15"/>
  <sheetData>
    <row r="2" spans="2:13" x14ac:dyDescent="0.15">
      <c r="B2" s="172" t="s">
        <v>317</v>
      </c>
    </row>
    <row r="3" spans="2:13" x14ac:dyDescent="0.15">
      <c r="B3" s="234" t="s">
        <v>318</v>
      </c>
      <c r="C3" s="234"/>
      <c r="D3" s="234"/>
      <c r="E3" s="234"/>
      <c r="F3" s="234"/>
      <c r="G3" s="243" t="s">
        <v>319</v>
      </c>
      <c r="H3" s="243"/>
      <c r="I3" s="244" t="s">
        <v>320</v>
      </c>
      <c r="J3" s="244"/>
      <c r="K3" s="244"/>
      <c r="L3" s="244"/>
      <c r="M3" s="244"/>
    </row>
    <row r="4" spans="2:13" x14ac:dyDescent="0.15">
      <c r="B4" s="268"/>
      <c r="C4" s="268"/>
      <c r="D4" s="268"/>
      <c r="E4" s="268"/>
      <c r="F4" s="268"/>
      <c r="G4" s="269"/>
      <c r="H4" s="269"/>
      <c r="I4" s="270"/>
      <c r="J4" s="270"/>
      <c r="K4" s="270"/>
      <c r="L4" s="270"/>
      <c r="M4" s="270"/>
    </row>
    <row r="5" spans="2:13" x14ac:dyDescent="0.15">
      <c r="B5" s="271"/>
      <c r="C5" s="271"/>
      <c r="D5" s="271"/>
      <c r="E5" s="271"/>
      <c r="F5" s="271"/>
      <c r="G5" s="272"/>
      <c r="H5" s="272"/>
      <c r="I5" s="270"/>
      <c r="J5" s="270"/>
      <c r="K5" s="270"/>
      <c r="L5" s="270"/>
      <c r="M5" s="270"/>
    </row>
    <row r="6" spans="2:13" x14ac:dyDescent="0.15">
      <c r="B6" s="234" t="s">
        <v>321</v>
      </c>
      <c r="C6" s="234"/>
      <c r="D6" s="234"/>
      <c r="E6" s="234"/>
      <c r="F6" s="234"/>
      <c r="G6" s="243" t="s">
        <v>319</v>
      </c>
      <c r="H6" s="243"/>
      <c r="I6" s="244" t="s">
        <v>320</v>
      </c>
      <c r="J6" s="244"/>
      <c r="K6" s="244"/>
      <c r="L6" s="244"/>
      <c r="M6" s="244"/>
    </row>
    <row r="7" spans="2:13" x14ac:dyDescent="0.15">
      <c r="B7" s="273"/>
      <c r="C7" s="273"/>
      <c r="D7" s="273"/>
      <c r="E7" s="273"/>
      <c r="F7" s="273"/>
      <c r="G7" s="274"/>
      <c r="H7" s="274"/>
      <c r="I7" s="275"/>
      <c r="J7" s="275"/>
      <c r="K7" s="275"/>
      <c r="L7" s="275"/>
      <c r="M7" s="275"/>
    </row>
    <row r="8" spans="2:13" x14ac:dyDescent="0.15">
      <c r="B8" s="271"/>
      <c r="C8" s="271"/>
      <c r="D8" s="271"/>
      <c r="E8" s="271"/>
      <c r="F8" s="271"/>
      <c r="G8" s="276"/>
      <c r="H8" s="276"/>
      <c r="I8" s="277"/>
      <c r="J8" s="277"/>
      <c r="K8" s="277"/>
      <c r="L8" s="277"/>
      <c r="M8" s="277"/>
    </row>
    <row r="9" spans="2:13" x14ac:dyDescent="0.15">
      <c r="B9" s="234" t="s">
        <v>322</v>
      </c>
      <c r="C9" s="234"/>
      <c r="D9" s="234"/>
      <c r="E9" s="234"/>
      <c r="F9" s="234"/>
      <c r="G9" s="243" t="s">
        <v>319</v>
      </c>
      <c r="H9" s="243"/>
      <c r="I9" s="244" t="s">
        <v>320</v>
      </c>
      <c r="J9" s="244"/>
      <c r="K9" s="244"/>
      <c r="L9" s="244"/>
      <c r="M9" s="244"/>
    </row>
    <row r="10" spans="2:13" x14ac:dyDescent="0.15">
      <c r="B10" s="273"/>
      <c r="C10" s="273"/>
      <c r="D10" s="273"/>
      <c r="E10" s="273"/>
      <c r="F10" s="273"/>
      <c r="G10" s="274"/>
      <c r="H10" s="274"/>
      <c r="I10" s="275"/>
      <c r="J10" s="275"/>
      <c r="K10" s="275"/>
      <c r="L10" s="275"/>
      <c r="M10" s="275"/>
    </row>
    <row r="11" spans="2:13" x14ac:dyDescent="0.15">
      <c r="B11" s="271"/>
      <c r="C11" s="271"/>
      <c r="D11" s="271"/>
      <c r="E11" s="271"/>
      <c r="F11" s="271"/>
      <c r="G11" s="276"/>
      <c r="H11" s="276"/>
      <c r="I11" s="277"/>
      <c r="J11" s="277"/>
      <c r="K11" s="277"/>
      <c r="L11" s="277"/>
      <c r="M11" s="277"/>
    </row>
    <row r="12" spans="2:13" x14ac:dyDescent="0.15">
      <c r="B12" s="234" t="s">
        <v>323</v>
      </c>
      <c r="C12" s="234"/>
      <c r="D12" s="234"/>
      <c r="E12" s="234"/>
      <c r="F12" s="234"/>
      <c r="G12" s="243" t="s">
        <v>319</v>
      </c>
      <c r="H12" s="243"/>
      <c r="I12" s="244" t="s">
        <v>320</v>
      </c>
      <c r="J12" s="244"/>
      <c r="K12" s="244"/>
      <c r="L12" s="244"/>
      <c r="M12" s="244"/>
    </row>
    <row r="13" spans="2:13" x14ac:dyDescent="0.15">
      <c r="B13" s="273"/>
      <c r="C13" s="273"/>
      <c r="D13" s="273"/>
      <c r="E13" s="273"/>
      <c r="F13" s="273"/>
      <c r="G13" s="274"/>
      <c r="H13" s="274"/>
      <c r="I13" s="275"/>
      <c r="J13" s="275"/>
      <c r="K13" s="275"/>
      <c r="L13" s="275"/>
      <c r="M13" s="275"/>
    </row>
    <row r="14" spans="2:13" x14ac:dyDescent="0.15">
      <c r="B14" s="271"/>
      <c r="C14" s="271"/>
      <c r="D14" s="271"/>
      <c r="E14" s="271"/>
      <c r="F14" s="271"/>
      <c r="G14" s="276"/>
      <c r="H14" s="276"/>
      <c r="I14" s="277"/>
      <c r="J14" s="277"/>
      <c r="K14" s="277"/>
      <c r="L14" s="277"/>
      <c r="M14" s="277"/>
    </row>
    <row r="15" spans="2:13" x14ac:dyDescent="0.15">
      <c r="B15" s="234" t="s">
        <v>324</v>
      </c>
      <c r="C15" s="234"/>
      <c r="D15" s="234"/>
      <c r="E15" s="234"/>
      <c r="F15" s="234"/>
      <c r="G15" s="243" t="s">
        <v>319</v>
      </c>
      <c r="H15" s="243"/>
      <c r="I15" s="244" t="s">
        <v>320</v>
      </c>
      <c r="J15" s="244"/>
      <c r="K15" s="244"/>
      <c r="L15" s="244"/>
      <c r="M15" s="244"/>
    </row>
    <row r="16" spans="2:13" x14ac:dyDescent="0.15">
      <c r="B16" s="273"/>
      <c r="C16" s="273"/>
      <c r="D16" s="273"/>
      <c r="E16" s="273"/>
      <c r="F16" s="273"/>
      <c r="G16" s="274"/>
      <c r="H16" s="274"/>
      <c r="I16" s="275"/>
      <c r="J16" s="275"/>
      <c r="K16" s="275"/>
      <c r="L16" s="275"/>
      <c r="M16" s="275"/>
    </row>
    <row r="17" spans="2:13" x14ac:dyDescent="0.15">
      <c r="B17" s="271"/>
      <c r="C17" s="271"/>
      <c r="D17" s="271"/>
      <c r="E17" s="271"/>
      <c r="F17" s="271"/>
      <c r="G17" s="276"/>
      <c r="H17" s="276"/>
      <c r="I17" s="277"/>
      <c r="J17" s="277"/>
      <c r="K17" s="277"/>
      <c r="L17" s="277"/>
      <c r="M17" s="277"/>
    </row>
    <row r="18" spans="2:13" x14ac:dyDescent="0.15">
      <c r="B18" s="234" t="s">
        <v>325</v>
      </c>
      <c r="C18" s="234"/>
      <c r="D18" s="234"/>
      <c r="E18" s="234"/>
      <c r="F18" s="234"/>
      <c r="G18" s="243" t="s">
        <v>319</v>
      </c>
      <c r="H18" s="243"/>
      <c r="I18" s="244" t="s">
        <v>320</v>
      </c>
      <c r="J18" s="244"/>
      <c r="K18" s="244"/>
      <c r="L18" s="244"/>
      <c r="M18" s="244"/>
    </row>
    <row r="19" spans="2:13" x14ac:dyDescent="0.15">
      <c r="B19" s="273"/>
      <c r="C19" s="273"/>
      <c r="D19" s="273"/>
      <c r="E19" s="273"/>
      <c r="F19" s="273"/>
      <c r="G19" s="274"/>
      <c r="H19" s="274"/>
      <c r="I19" s="275"/>
      <c r="J19" s="275"/>
      <c r="K19" s="275"/>
      <c r="L19" s="275"/>
      <c r="M19" s="275"/>
    </row>
    <row r="20" spans="2:13" x14ac:dyDescent="0.15">
      <c r="B20" s="271"/>
      <c r="C20" s="271"/>
      <c r="D20" s="271"/>
      <c r="E20" s="271"/>
      <c r="F20" s="271"/>
      <c r="G20" s="276"/>
      <c r="H20" s="276"/>
      <c r="I20" s="277"/>
      <c r="J20" s="277"/>
      <c r="K20" s="277"/>
      <c r="L20" s="277"/>
      <c r="M20" s="277"/>
    </row>
    <row r="21" spans="2:13" x14ac:dyDescent="0.15">
      <c r="B21" s="234" t="s">
        <v>326</v>
      </c>
      <c r="C21" s="234"/>
      <c r="D21" s="234"/>
      <c r="E21" s="234"/>
      <c r="F21" s="234"/>
      <c r="G21" s="243" t="s">
        <v>319</v>
      </c>
      <c r="H21" s="243"/>
      <c r="I21" s="244" t="s">
        <v>320</v>
      </c>
      <c r="J21" s="244"/>
      <c r="K21" s="244"/>
      <c r="L21" s="244"/>
      <c r="M21" s="244"/>
    </row>
    <row r="22" spans="2:13" x14ac:dyDescent="0.15">
      <c r="B22" s="273"/>
      <c r="C22" s="273"/>
      <c r="D22" s="273"/>
      <c r="E22" s="273"/>
      <c r="F22" s="273"/>
      <c r="G22" s="274"/>
      <c r="H22" s="274"/>
      <c r="I22" s="275"/>
      <c r="J22" s="275"/>
      <c r="K22" s="275"/>
      <c r="L22" s="275"/>
      <c r="M22" s="275"/>
    </row>
    <row r="23" spans="2:13" x14ac:dyDescent="0.15">
      <c r="B23" s="271"/>
      <c r="C23" s="271"/>
      <c r="D23" s="271"/>
      <c r="E23" s="271"/>
      <c r="F23" s="271"/>
      <c r="G23" s="276"/>
      <c r="H23" s="276"/>
      <c r="I23" s="277"/>
      <c r="J23" s="277"/>
      <c r="K23" s="277"/>
      <c r="L23" s="277"/>
      <c r="M23" s="277"/>
    </row>
    <row r="24" spans="2:13" x14ac:dyDescent="0.15">
      <c r="B24" s="234" t="s">
        <v>327</v>
      </c>
      <c r="C24" s="234"/>
      <c r="D24" s="234"/>
      <c r="E24" s="234"/>
      <c r="F24" s="234"/>
      <c r="G24" s="243" t="s">
        <v>319</v>
      </c>
      <c r="H24" s="243"/>
      <c r="I24" s="244" t="s">
        <v>320</v>
      </c>
      <c r="J24" s="244"/>
      <c r="K24" s="244"/>
      <c r="L24" s="244"/>
      <c r="M24" s="244"/>
    </row>
    <row r="25" spans="2:13" x14ac:dyDescent="0.15">
      <c r="B25" s="273"/>
      <c r="C25" s="273"/>
      <c r="D25" s="273"/>
      <c r="E25" s="273"/>
      <c r="F25" s="273"/>
      <c r="G25" s="274"/>
      <c r="H25" s="274"/>
      <c r="I25" s="275"/>
      <c r="J25" s="275"/>
      <c r="K25" s="275"/>
      <c r="L25" s="275"/>
      <c r="M25" s="275"/>
    </row>
    <row r="26" spans="2:13" x14ac:dyDescent="0.15">
      <c r="B26" s="271"/>
      <c r="C26" s="271"/>
      <c r="D26" s="271"/>
      <c r="E26" s="271"/>
      <c r="F26" s="271"/>
      <c r="G26" s="276"/>
      <c r="H26" s="276"/>
      <c r="I26" s="277"/>
      <c r="J26" s="277"/>
      <c r="K26" s="277"/>
      <c r="L26" s="277"/>
      <c r="M26" s="277"/>
    </row>
    <row r="27" spans="2:13" x14ac:dyDescent="0.15">
      <c r="B27" s="234" t="s">
        <v>328</v>
      </c>
      <c r="C27" s="234"/>
      <c r="D27" s="234"/>
      <c r="E27" s="234"/>
      <c r="F27" s="234"/>
      <c r="G27" s="243" t="s">
        <v>319</v>
      </c>
      <c r="H27" s="243"/>
      <c r="I27" s="244" t="s">
        <v>320</v>
      </c>
      <c r="J27" s="244"/>
      <c r="K27" s="244"/>
      <c r="L27" s="244"/>
      <c r="M27" s="244"/>
    </row>
    <row r="28" spans="2:13" x14ac:dyDescent="0.15">
      <c r="B28" s="273"/>
      <c r="C28" s="273"/>
      <c r="D28" s="273"/>
      <c r="E28" s="273"/>
      <c r="F28" s="273"/>
      <c r="G28" s="274"/>
      <c r="H28" s="274"/>
      <c r="I28" s="275"/>
      <c r="J28" s="275"/>
      <c r="K28" s="275"/>
      <c r="L28" s="275"/>
      <c r="M28" s="275"/>
    </row>
    <row r="29" spans="2:13" x14ac:dyDescent="0.15">
      <c r="B29" s="271"/>
      <c r="C29" s="271"/>
      <c r="D29" s="271"/>
      <c r="E29" s="271"/>
      <c r="F29" s="271"/>
      <c r="G29" s="276"/>
      <c r="H29" s="276"/>
      <c r="I29" s="277"/>
      <c r="J29" s="277"/>
      <c r="K29" s="277"/>
      <c r="L29" s="277"/>
      <c r="M29" s="277"/>
    </row>
  </sheetData>
  <mergeCells count="81">
    <mergeCell ref="B29:F29"/>
    <mergeCell ref="G29:H29"/>
    <mergeCell ref="I29:M29"/>
    <mergeCell ref="B27:F27"/>
    <mergeCell ref="G27:H27"/>
    <mergeCell ref="I27:M27"/>
    <mergeCell ref="B28:F28"/>
    <mergeCell ref="G28:H28"/>
    <mergeCell ref="I28:M28"/>
    <mergeCell ref="B25:F25"/>
    <mergeCell ref="G25:H25"/>
    <mergeCell ref="I25:M25"/>
    <mergeCell ref="B26:F26"/>
    <mergeCell ref="G26:H26"/>
    <mergeCell ref="I26:M26"/>
    <mergeCell ref="B23:F23"/>
    <mergeCell ref="G23:H23"/>
    <mergeCell ref="I23:M23"/>
    <mergeCell ref="B24:F24"/>
    <mergeCell ref="G24:H24"/>
    <mergeCell ref="I24:M24"/>
    <mergeCell ref="B21:F21"/>
    <mergeCell ref="G21:H21"/>
    <mergeCell ref="I21:M21"/>
    <mergeCell ref="B22:F22"/>
    <mergeCell ref="G22:H22"/>
    <mergeCell ref="I22:M22"/>
    <mergeCell ref="B19:F19"/>
    <mergeCell ref="G19:H19"/>
    <mergeCell ref="I19:M19"/>
    <mergeCell ref="B20:F20"/>
    <mergeCell ref="G20:H20"/>
    <mergeCell ref="I20:M20"/>
    <mergeCell ref="B17:F17"/>
    <mergeCell ref="G17:H17"/>
    <mergeCell ref="I17:M17"/>
    <mergeCell ref="B18:F18"/>
    <mergeCell ref="G18:H18"/>
    <mergeCell ref="I18:M18"/>
    <mergeCell ref="B15:F15"/>
    <mergeCell ref="G15:H15"/>
    <mergeCell ref="I15:M15"/>
    <mergeCell ref="B16:F16"/>
    <mergeCell ref="G16:H16"/>
    <mergeCell ref="I16:M16"/>
    <mergeCell ref="B13:F13"/>
    <mergeCell ref="G13:H13"/>
    <mergeCell ref="I13:M13"/>
    <mergeCell ref="B14:F14"/>
    <mergeCell ref="G14:H14"/>
    <mergeCell ref="I14:M14"/>
    <mergeCell ref="B11:F11"/>
    <mergeCell ref="G11:H11"/>
    <mergeCell ref="I11:M11"/>
    <mergeCell ref="B12:F12"/>
    <mergeCell ref="G12:H12"/>
    <mergeCell ref="I12:M12"/>
    <mergeCell ref="B9:F9"/>
    <mergeCell ref="G9:H9"/>
    <mergeCell ref="I9:M9"/>
    <mergeCell ref="B10:F10"/>
    <mergeCell ref="G10:H10"/>
    <mergeCell ref="I10:M10"/>
    <mergeCell ref="B7:F7"/>
    <mergeCell ref="G7:H7"/>
    <mergeCell ref="I7:M7"/>
    <mergeCell ref="B8:F8"/>
    <mergeCell ref="G8:H8"/>
    <mergeCell ref="I8:M8"/>
    <mergeCell ref="B5:F5"/>
    <mergeCell ref="G5:H5"/>
    <mergeCell ref="I5:M5"/>
    <mergeCell ref="B6:F6"/>
    <mergeCell ref="G6:H6"/>
    <mergeCell ref="I6:M6"/>
    <mergeCell ref="B3:F3"/>
    <mergeCell ref="G3:H3"/>
    <mergeCell ref="I3:M3"/>
    <mergeCell ref="B4:F4"/>
    <mergeCell ref="G4:H4"/>
    <mergeCell ref="I4:M4"/>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32</TotalTime>
  <Application>Microsoft Macintosh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Metrics</vt:lpstr>
      <vt:lpstr>Milestones</vt:lpstr>
      <vt:lpstr>Manpower Q419</vt:lpstr>
      <vt:lpstr>Manpower Q120</vt:lpstr>
      <vt:lpstr>Narrative Q419</vt:lpstr>
      <vt:lpstr>Narrative Q120</vt:lpstr>
      <vt:lpstr>EVAL</vt:lpstr>
      <vt:lpstr>Metrics!_FilterDatabase</vt:lpstr>
      <vt:lpstr>Milestones!_FilterDatabase</vt:lpstr>
    </vt:vector>
  </TitlesOfParts>
  <Company>Queen Mary High Energy Physics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Steve Lloyd</dc:creator>
  <dc:description/>
  <cp:lastModifiedBy>Dewhurst, Alastair (STFC,RAL,PPD)</cp:lastModifiedBy>
  <cp:revision>7</cp:revision>
  <cp:lastPrinted>2016-05-25T14:55:34Z</cp:lastPrinted>
  <dcterms:created xsi:type="dcterms:W3CDTF">2006-07-17T09:56:01Z</dcterms:created>
  <dcterms:modified xsi:type="dcterms:W3CDTF">2020-05-21T00:13:28Z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Queen Mary High Energy Physics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