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4.xml" ContentType="application/vnd.openxmlformats-officedocument.spreadsheetml.comment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omments3.xml" ContentType="application/vnd.openxmlformats-officedocument.spreadsheetml.comments+xml"/>
  <Override PartName="/xl/styles.xml" ContentType="application/vnd.openxmlformats-officedocument.spreadsheetml.styles+xml"/>
  <Override PartName="/xl/drawings/vmlDrawing2.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rics" sheetId="1" state="visible" r:id="rId2"/>
    <sheet name="Milestones" sheetId="2" state="visible" r:id="rId3"/>
    <sheet name="Manpower Q219" sheetId="3" state="visible" r:id="rId4"/>
    <sheet name="Manpower Q319" sheetId="4" state="visible" r:id="rId5"/>
    <sheet name="Narrative Q119" sheetId="5" state="visible" r:id="rId6"/>
    <sheet name="Narrative Q219" sheetId="6" state="visible" r:id="rId7"/>
    <sheet name="Narrative Q319" sheetId="7" state="visible" r:id="rId8"/>
    <sheet name="EVAL" sheetId="8" state="visible" r:id="rId9"/>
  </sheets>
  <definedNames>
    <definedName function="false" hidden="false" localSheetId="0" name="_xlnm._FilterDatabase" vbProcedure="false">Metrics!$A$8:$K$40</definedName>
    <definedName function="false" hidden="false" localSheetId="1" name="_xlnm._FilterDatabase" vbProcedure="false">Milestones!$8:$30</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List>
</comments>
</file>

<file path=xl/comments4.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List>
</comments>
</file>

<file path=xl/sharedStrings.xml><?xml version="1.0" encoding="utf-8"?>
<sst xmlns="http://schemas.openxmlformats.org/spreadsheetml/2006/main" count="680" uniqueCount="351">
  <si>
    <t xml:space="preserve">GridPP Quarterly Report</t>
  </si>
  <si>
    <t xml:space="preserve">OK</t>
  </si>
  <si>
    <t xml:space="preserve">Area</t>
  </si>
  <si>
    <t xml:space="preserve">Tier-1</t>
  </si>
  <si>
    <t xml:space="preserve">Close to target</t>
  </si>
  <si>
    <t xml:space="preserve">Quarter</t>
  </si>
  <si>
    <t xml:space="preserve">Q3 19</t>
  </si>
  <si>
    <t xml:space="preserve">Not OK</t>
  </si>
  <si>
    <t xml:space="preserve">Reported by</t>
  </si>
  <si>
    <t xml:space="preserve">Darren Moore</t>
  </si>
  <si>
    <t xml:space="preserve">Not yet able to be measured</t>
  </si>
  <si>
    <t xml:space="preserve">Suspended</t>
  </si>
  <si>
    <t xml:space="preserve">GridPP no.</t>
  </si>
  <si>
    <t xml:space="preserve">Tier-1 no.</t>
  </si>
  <si>
    <t xml:space="preserve">Description</t>
  </si>
  <si>
    <t xml:space="preserve">Source</t>
  </si>
  <si>
    <t xml:space="preserve">Owner</t>
  </si>
  <si>
    <t xml:space="preserve">Target</t>
  </si>
  <si>
    <t xml:space="preserve">Q117</t>
  </si>
  <si>
    <t xml:space="preserve">Q217</t>
  </si>
  <si>
    <t xml:space="preserve">Q317</t>
  </si>
  <si>
    <t xml:space="preserve">Q417</t>
  </si>
  <si>
    <t xml:space="preserve">Q118</t>
  </si>
  <si>
    <t xml:space="preserve">Q218</t>
  </si>
  <si>
    <t xml:space="preserve">Q318</t>
  </si>
  <si>
    <t xml:space="preserve">Q418</t>
  </si>
  <si>
    <t xml:space="preserve">Q119</t>
  </si>
  <si>
    <t xml:space="preserve">Q219</t>
  </si>
  <si>
    <t xml:space="preserve">Q319</t>
  </si>
  <si>
    <t xml:space="preserve">Comment Q117</t>
  </si>
  <si>
    <t xml:space="preserve">Comment Q217</t>
  </si>
  <si>
    <t xml:space="preserve">Comment Q317</t>
  </si>
  <si>
    <t xml:space="preserve">Comment Q417</t>
  </si>
  <si>
    <t xml:space="preserve">Comment Q118</t>
  </si>
  <si>
    <t xml:space="preserve">Comment Q218</t>
  </si>
  <si>
    <t xml:space="preserve">Comment Q318</t>
  </si>
  <si>
    <t xml:space="preserve">Comments Q418</t>
  </si>
  <si>
    <t xml:space="preserve">Comments Q119</t>
  </si>
  <si>
    <t xml:space="preserve">Comments Q219</t>
  </si>
  <si>
    <t xml:space="preserve">Comments Q319</t>
  </si>
  <si>
    <t xml:space="preserve">1.1.1</t>
  </si>
  <si>
    <t xml:space="preserve">1.2.7</t>
  </si>
  <si>
    <t xml:space="preserve">Fraction of WLCG MoU commitment for CPU 100 %</t>
  </si>
  <si>
    <t xml:space="preserve">Andrew Lahiff</t>
  </si>
  <si>
    <t xml:space="preserve">&gt;100%</t>
  </si>
  <si>
    <t xml:space="preserve">Metrics recording process failed for this quarter</t>
  </si>
  <si>
    <t xml:space="preserve">1.1.2</t>
  </si>
  <si>
    <t xml:space="preserve">1.6.3</t>
  </si>
  <si>
    <t xml:space="preserve">% met of GRIDPP T1-RB allocation for CPU 100 %</t>
  </si>
  <si>
    <t xml:space="preserve">1.1.3</t>
  </si>
  <si>
    <t xml:space="preserve">Availability of CE service 99 %</t>
  </si>
  <si>
    <t xml:space="preserve">Catalin Condurache</t>
  </si>
  <si>
    <t xml:space="preserve">1.1.4</t>
  </si>
  <si>
    <t xml:space="preserve">Number of Security Incidents 2 per year</t>
  </si>
  <si>
    <t xml:space="preserve">Gareth Smith</t>
  </si>
  <si>
    <t xml:space="preserve">Security Challenge Accepted</t>
  </si>
  <si>
    <t xml:space="preserve">1.1.5</t>
  </si>
  <si>
    <t xml:space="preserve"># level 3 incidents(newly entered or active) in disaster management system 0  </t>
  </si>
  <si>
    <t xml:space="preserve">Escalated problem LHCb had with Castor while running stipping/merging campain. Led to reverting LHCb Castor SRM upgrade.</t>
  </si>
  <si>
    <t xml:space="preserve">1.1.6</t>
  </si>
  <si>
    <t xml:space="preserve"># level 4 incidents (newly entered or active) in disaster management system 0  </t>
  </si>
  <si>
    <t xml:space="preserve">Andrew Sansum</t>
  </si>
  <si>
    <t xml:space="preserve">1.1.7</t>
  </si>
  <si>
    <t xml:space="preserve">Percentage of GRIDPP4 Staff in Post 93 %</t>
  </si>
  <si>
    <t xml:space="preserve">1.2.1</t>
  </si>
  <si>
    <t xml:space="preserve">1.2.8</t>
  </si>
  <si>
    <t xml:space="preserve">Fraction of WLCG MoU commitment for Disk 100 %</t>
  </si>
  <si>
    <t xml:space="preserve">1.2.2</t>
  </si>
  <si>
    <t xml:space="preserve">1.2.9</t>
  </si>
  <si>
    <t xml:space="preserve"> Fraction of WLCG MoU commitment for Tape 100 %</t>
  </si>
  <si>
    <t xml:space="preserve">There was a temporary shortage of tape during this quarter while we were sorting out a procurement of more tape media. During this time the free tape pool reduced and Atlas &amp; CMS deleted some files off tape for us to help.</t>
  </si>
  <si>
    <t xml:space="preserve">1.2.3</t>
  </si>
  <si>
    <t xml:space="preserve">1.6.1</t>
  </si>
  <si>
    <t xml:space="preserve">% met of GRIDPP T1RB Allocation for Tape   100 %</t>
  </si>
  <si>
    <t xml:space="preserve">100%%</t>
  </si>
  <si>
    <t xml:space="preserve">See comment above for metric 1.2.2.</t>
  </si>
  <si>
    <t xml:space="preserve">1.2.4</t>
  </si>
  <si>
    <t xml:space="preserve">1.6.2</t>
  </si>
  <si>
    <t xml:space="preserve">% met of GRIDPP T1RB Allocation for Disk  100 %</t>
  </si>
  <si>
    <t xml:space="preserve">There has been some delay getting storage into Echo.</t>
  </si>
  <si>
    <t xml:space="preserve">1.2.5</t>
  </si>
  <si>
    <t xml:space="preserve">7.1.3</t>
  </si>
  <si>
    <t xml:space="preserve"># Storage node failures leading to filesystem loss or damage</t>
  </si>
  <si>
    <t xml:space="preserve">Kashif Hafeez</t>
  </si>
  <si>
    <t xml:space="preserve">1.2.6</t>
  </si>
  <si>
    <t xml:space="preserve">7.1.4</t>
  </si>
  <si>
    <t xml:space="preserve">% Lost disk server hours due to hardware problems over deployed base</t>
  </si>
  <si>
    <t xml:space="preserve">&lt;1%</t>
  </si>
  <si>
    <t xml:space="preserve">&lt; 1%</t>
  </si>
  <si>
    <t xml:space="preserve">Difficult to estimate.  No disk servers were out in Echo, but an increasing number are having problems in Castor.</t>
  </si>
  <si>
    <t xml:space="preserve">7.3.1</t>
  </si>
  <si>
    <t xml:space="preserve">Damaged tapes/month, leading to data loss </t>
  </si>
  <si>
    <t xml:space="preserve">Tim Folkes</t>
  </si>
  <si>
    <t xml:space="preserve">6 ATLAS files lost</t>
  </si>
  <si>
    <t xml:space="preserve">5.1.2</t>
  </si>
  <si>
    <t xml:space="preserve">CASTOR SAM tests: ATLAS VO</t>
  </si>
  <si>
    <t xml:space="preserve">Metric calculation changed in 12Q1 Now harder</t>
  </si>
  <si>
    <t xml:space="preserve">Rob Appleyard</t>
  </si>
  <si>
    <t xml:space="preserve">&gt;99%</t>
  </si>
  <si>
    <t xml:space="preserve">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</si>
  <si>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There was a problem around to 30th April/1st May when one of the Atlas disks filled up and we failed tests consistently. There were also intermittent test failures before the Castor Atlas 2.1.16 upgrade which was done on the 25th May.</t>
  </si>
  <si>
    <t xml:space="preserve">In first part of quarter there were problems that appeared in the SRMs that were thought to be due to Castor performance issues. The merging of the small AtlasScratchDisk pool into a larger disk pool alleviated these. (See Narrative).</t>
  </si>
  <si>
    <t xml:space="preserve">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</si>
  <si>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 xml:space="preserve">5.1.1</t>
  </si>
  <si>
    <t xml:space="preserve">CASTOR SAM tests: ALICE VO</t>
  </si>
  <si>
    <t xml:space="preserve">Missing ALICE-specific xroot component after Castor 2.1.15 upgrade led to several days of test failure (inlcuing a weekend).</t>
  </si>
  <si>
    <t xml:space="preserve">1.2.10</t>
  </si>
  <si>
    <t xml:space="preserve">5.1.3</t>
  </si>
  <si>
    <t xml:space="preserve">CASTOR SAM tests: CMS VO</t>
  </si>
  <si>
    <t xml:space="preserve">There have been sporadic failures of the CMS SAM tests against the SRMs (timeouts) throught this period. Effort was directed at Castor upgrades (SRM and then Castor itself to improve this).</t>
  </si>
  <si>
    <t xml:space="preserve">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</si>
  <si>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 xml:space="preserve">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</si>
  <si>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 xml:space="preserve">Availability brought down by CMSDisk in Castor becoming full over the 5/6 October.</t>
  </si>
  <si>
    <t xml:space="preserve">1.2.11</t>
  </si>
  <si>
    <t xml:space="preserve">5.1.4</t>
  </si>
  <si>
    <t xml:space="preserve">CASTOR SAM tests: LHCb VO</t>
  </si>
  <si>
    <t xml:space="preserve">Sporadic SRM test failures through the quarter. Some specific problems with the SRM led to more test failures on one or two days.</t>
  </si>
  <si>
    <t xml:space="preserve">Test failures dominated by problems in first part of quarter The causes are as detailed in the narrative section. (These led to the reversion of a previous SRM update and a problem with TURLs returned after the Castor upgrade.)</t>
  </si>
  <si>
    <t xml:space="preserve">Figure dominated by September availability at 88%. Problem with two disk servers added into Castor gave problems for SAM tests although LHCb did did not report problems. Also noted in Narrative section.</t>
  </si>
  <si>
    <t xml:space="preserve">1.2.12</t>
  </si>
  <si>
    <t xml:space="preserve">7.3.4</t>
  </si>
  <si>
    <t xml:space="preserve"> Reliability of tape robot 99 %</t>
  </si>
  <si>
    <t xml:space="preserve">1.3.1</t>
  </si>
  <si>
    <t xml:space="preserve">WLCG Service Availability Target (set lower by WLCG than MoU, taken from OPS availability) 97 %</t>
  </si>
  <si>
    <t xml:space="preserve">99%%</t>
  </si>
  <si>
    <t xml:space="preserve">The OPS tests were failing in May and June because of the problems with the Castor Information Provider ("CIP")</t>
  </si>
  <si>
    <t xml:space="preserve">1.3.2</t>
  </si>
  <si>
    <t xml:space="preserve">WLCG Service Availability for Alice 97 %</t>
  </si>
  <si>
    <t xml:space="preserve">See comment for metric 1.2.9.</t>
  </si>
  <si>
    <t xml:space="preserve">1.3.3</t>
  </si>
  <si>
    <t xml:space="preserve">WLCG Service Availability for ATLAS 97 %</t>
  </si>
  <si>
    <t xml:space="preserve">See comment for metric 1.2.8.</t>
  </si>
  <si>
    <t xml:space="preserve">1.3.4</t>
  </si>
  <si>
    <t xml:space="preserve">1.2.13</t>
  </si>
  <si>
    <t xml:space="preserve">WLCG Service Availability for CMS 97 %</t>
  </si>
  <si>
    <t xml:space="preserve">See comment for metric 1.2.10 above. Plus in March CMS CE tests suffered from aa problem with argus plus another when a Hyperviosor failed affecting a number of virtual machines. This in turn affected CMS CE tests.</t>
  </si>
  <si>
    <t xml:space="preserve">See comment for metric 1.2.10</t>
  </si>
  <si>
    <t xml:space="preserve">1.3.5</t>
  </si>
  <si>
    <t xml:space="preserve">1.2.14</t>
  </si>
  <si>
    <t xml:space="preserve">WLCG Service Availability for LHCB 97 %</t>
  </si>
  <si>
    <t xml:space="preserve">See comment for metric 1.2.11.</t>
  </si>
  <si>
    <t xml:space="preserve">See comment for metric 1.2.11</t>
  </si>
  <si>
    <t xml:space="preserve">1.3.6</t>
  </si>
  <si>
    <t xml:space="preserve">1.2.4 &amp; 1.2.5</t>
  </si>
  <si>
    <t xml:space="preserve">Respond to pager within 2 hours  95 %  </t>
  </si>
  <si>
    <t xml:space="preserve">1.3.7</t>
  </si>
  <si>
    <t xml:space="preserve">4.1.2</t>
  </si>
  <si>
    <t xml:space="preserve">Number of GGUS Tickets not responded to within two hours .  </t>
  </si>
  <si>
    <t xml:space="preserve">3 per month</t>
  </si>
  <si>
    <t xml:space="preserve">1.3.8</t>
  </si>
  <si>
    <t xml:space="preserve">1.6.4</t>
  </si>
  <si>
    <t xml:space="preserve">Job Efficiency (CPU/Wall) 70 %</t>
  </si>
  <si>
    <t xml:space="preserve">&gt; 70%</t>
  </si>
  <si>
    <t xml:space="preserve">1.3.9</t>
  </si>
  <si>
    <t xml:space="preserve">1.6.5</t>
  </si>
  <si>
    <t xml:space="preserve">Farm Occupancy 70 %</t>
  </si>
  <si>
    <t xml:space="preserve">&gt;70%</t>
  </si>
  <si>
    <t xml:space="preserve">1.3.10</t>
  </si>
  <si>
    <t xml:space="preserve">1.6.6</t>
  </si>
  <si>
    <t xml:space="preserve">Percentage of available T1 Disk 1 used in quarter 20 %</t>
  </si>
  <si>
    <t xml:space="preserve">1.3.11</t>
  </si>
  <si>
    <t xml:space="preserve">7.3.5</t>
  </si>
  <si>
    <t xml:space="preserve">Used tape capacity (TB)</t>
  </si>
  <si>
    <t xml:space="preserve">NGI</t>
  </si>
  <si>
    <t xml:space="preserve">3.4.1</t>
  </si>
  <si>
    <t xml:space="preserve">UK CPU and storage delivered to EGI</t>
  </si>
  <si>
    <t xml:space="preserve">Ian Collier</t>
  </si>
  <si>
    <t xml:space="preserve">3.4.2</t>
  </si>
  <si>
    <t xml:space="preserve">Monthly timesheets complete by 10th of each month</t>
  </si>
  <si>
    <t xml:space="preserve">3.4.3</t>
  </si>
  <si>
    <t xml:space="preserve">GridPP staff PM delivered as required</t>
  </si>
  <si>
    <t xml:space="preserve">3.4.4</t>
  </si>
  <si>
    <t xml:space="preserve">GOCDB Availability</t>
  </si>
  <si>
    <t xml:space="preserve">Waiting on EGI to publish their stats. A quick look at Nagios over the quarter shows no availability issues. </t>
  </si>
  <si>
    <t xml:space="preserve">Source: http://argo.egi.eu/lavoisier/opsmon_reports?accept=html </t>
  </si>
  <si>
    <t xml:space="preserve">3.4.5</t>
  </si>
  <si>
    <t xml:space="preserve">APEL Availability</t>
  </si>
  <si>
    <t xml:space="preserve">Adrian Coveney</t>
  </si>
  <si>
    <t xml:space="preserve">Complete</t>
  </si>
  <si>
    <t xml:space="preserve">Proposed to be Rescheduled</t>
  </si>
  <si>
    <t xml:space="preserve">Overdue</t>
  </si>
  <si>
    <t xml:space="preserve">Likely to be late</t>
  </si>
  <si>
    <t xml:space="preserve">Not yet due</t>
  </si>
  <si>
    <t xml:space="preserve">Proposed Milestone change</t>
  </si>
  <si>
    <t xml:space="preserve">Query</t>
  </si>
  <si>
    <t xml:space="preserve">Based on Milestones 1.3d-2</t>
  </si>
  <si>
    <t xml:space="preserve">Milestone no.</t>
  </si>
  <si>
    <t xml:space="preserve">Due date</t>
  </si>
  <si>
    <t xml:space="preserve">Date complete</t>
  </si>
  <si>
    <t xml:space="preserve">Evidence</t>
  </si>
  <si>
    <t xml:space="preserve">Comment</t>
  </si>
  <si>
    <t xml:space="preserve">1.4.1</t>
  </si>
  <si>
    <t xml:space="preserve">Produce the purchasing plan</t>
  </si>
  <si>
    <t xml:space="preserve">A purchasing plan swas produced but changes in the amount of money available require the plan to be re-visited.</t>
  </si>
  <si>
    <t xml:space="preserve">1.4.2</t>
  </si>
  <si>
    <t xml:space="preserve">FY16 Capacity order placed</t>
  </si>
  <si>
    <t xml:space="preserve">Order for CPU &amp; disk storage received by vendor mid-Feb.</t>
  </si>
  <si>
    <t xml:space="preserve">1.4.3</t>
  </si>
  <si>
    <t xml:space="preserve">FY16 Purchase in production</t>
  </si>
  <si>
    <t xml:space="preserve">CPU in use. Storage in Echo</t>
  </si>
  <si>
    <t xml:space="preserve">1.4.4</t>
  </si>
  <si>
    <t xml:space="preserve">Tier-1 WLCG MoU commitments met</t>
  </si>
  <si>
    <t xml:space="preserve">Alastair Dewhurst</t>
  </si>
  <si>
    <t xml:space="preserve">As shown in metrics.</t>
  </si>
  <si>
    <t xml:space="preserve">1.4.5</t>
  </si>
  <si>
    <t xml:space="preserve">Planning completed so that tenders could be issued. </t>
  </si>
  <si>
    <t xml:space="preserve">1.4.6</t>
  </si>
  <si>
    <t xml:space="preserve">FY17 Capacity order placed</t>
  </si>
  <si>
    <t xml:space="preserve">Tenders issued at end of November. Orders placed January 2018. - technically outside this quarter - but it is now done.</t>
  </si>
  <si>
    <t xml:space="preserve">1.4.7</t>
  </si>
  <si>
    <t xml:space="preserve">FY17 Purchase in production</t>
  </si>
  <si>
    <t xml:space="preserve">50% of CPU in production by June.  XMA CPU and all storage still behind.</t>
  </si>
  <si>
    <t xml:space="preserve">1.4.8</t>
  </si>
  <si>
    <t xml:space="preserve">Waiting on CPU delivery, storage is being ramped up slowly.</t>
  </si>
  <si>
    <t xml:space="preserve">1.4.9</t>
  </si>
  <si>
    <t xml:space="preserve">Unclear finance situation, new hardware is not in production, so hard to make predictions about what we will need.</t>
  </si>
  <si>
    <t xml:space="preserve">1.4.10</t>
  </si>
  <si>
    <t xml:space="preserve">FY18 Capacity order placed</t>
  </si>
  <si>
    <t xml:space="preserve">Disk Tender runs until 7th December.  CPU direct award placed in December.</t>
  </si>
  <si>
    <t xml:space="preserve">1.4.11</t>
  </si>
  <si>
    <t xml:space="preserve">FY18 Purchase in production</t>
  </si>
  <si>
    <t xml:space="preserve">CPU in production in March.  Disk is ready for deployment although it will be phased in slowly as we have plenty of spare capacity currently.</t>
  </si>
  <si>
    <t xml:space="preserve">1.4.12</t>
  </si>
  <si>
    <t xml:space="preserve">Plenty of spare capacity in Echo (even before 18 generation was added). LHCb migrated to Echo in March.  ALICE still using Castor.</t>
  </si>
  <si>
    <t xml:space="preserve">1.4.13</t>
  </si>
  <si>
    <t xml:space="preserve">Initial plan circulated 4th June 2019.</t>
  </si>
  <si>
    <t xml:space="preserve">1.4.14</t>
  </si>
  <si>
    <t xml:space="preserve">FY19 Capacity order placed</t>
  </si>
  <si>
    <t xml:space="preserve">Disk and CPU tenders ended on 25th October.  Orders placed in November fro delivery in Janaury 2020.</t>
  </si>
  <si>
    <t xml:space="preserve">1.4.15</t>
  </si>
  <si>
    <t xml:space="preserve">FY19 Purchase in production</t>
  </si>
  <si>
    <t xml:space="preserve">1.4.16</t>
  </si>
  <si>
    <t xml:space="preserve">Effort (FTE)</t>
  </si>
  <si>
    <t xml:space="preserve">GridPP Funded</t>
  </si>
  <si>
    <t xml:space="preserve">Unfunded</t>
  </si>
  <si>
    <t xml:space="preserve">Site</t>
  </si>
  <si>
    <t xml:space="preserve">Work area</t>
  </si>
  <si>
    <t xml:space="preserve">GRIDPP Funded Name(s)</t>
  </si>
  <si>
    <t xml:space="preserve">Month 1</t>
  </si>
  <si>
    <t xml:space="preserve">Month 2</t>
  </si>
  <si>
    <t xml:space="preserve">Month 3</t>
  </si>
  <si>
    <t xml:space="preserve">Fabric</t>
  </si>
  <si>
    <t xml:space="preserve">Bly, Folkes, Hafeez, Harper, Walia, Summers, Banks</t>
  </si>
  <si>
    <t xml:space="preserve">Grid</t>
  </si>
  <si>
    <t xml:space="preserve">Condurache, Adams, Collier</t>
  </si>
  <si>
    <t xml:space="preserve">CASTOR/Tape/CEPH</t>
  </si>
  <si>
    <t xml:space="preserve">Folkes, Appleyard, Johnson, Patargias, McComb</t>
  </si>
  <si>
    <t xml:space="preserve">Database</t>
  </si>
  <si>
    <t xml:space="preserve">Lopez, Packer, Contractor</t>
  </si>
  <si>
    <t xml:space="preserve">Management</t>
  </si>
  <si>
    <t xml:space="preserve">Dewhurst</t>
  </si>
  <si>
    <t xml:space="preserve">Production</t>
  </si>
  <si>
    <t xml:space="preserve">Moore, Kelly</t>
  </si>
  <si>
    <t xml:space="preserve">Total</t>
  </si>
  <si>
    <t xml:space="preserve">APEL, GOCDB</t>
  </si>
  <si>
    <t xml:space="preserve">Coveney, Corbett, Ryall, Nielson</t>
  </si>
  <si>
    <t xml:space="preserve">Machine room operations are now fully funded by SCD in GridPP5</t>
  </si>
  <si>
    <t xml:space="preserve">Site networking is not funded by either SCD or GridPP in GridPP5</t>
  </si>
  <si>
    <t xml:space="preserve">Bly, Folkes, Hafeez, Harper,  Summers, Lisseev, Kowalski, Furnell</t>
  </si>
  <si>
    <t xml:space="preserve">Appleyard, Johnson, Patargias, McComb</t>
  </si>
  <si>
    <t xml:space="preserve">Moore, Davies</t>
  </si>
  <si>
    <t xml:space="preserve">Progress over last Quarter</t>
  </si>
  <si>
    <t xml:space="preserve">Successes</t>
  </si>
  <si>
    <t xml:space="preserve">Problems/Issues</t>
  </si>
  <si>
    <t xml:space="preserve">General</t>
  </si>
  <si>
    <t xml:space="preserve">Security Challenge started end of Q1 (completed Q2).  Tier-1 successfully handled and responded to this challenge. </t>
  </si>
  <si>
    <t xml:space="preserve">CPU</t>
  </si>
  <si>
    <t xml:space="preserve">XMA CPU’s delivered.</t>
  </si>
  <si>
    <t xml:space="preserve">Poor CPU efficiencies being recorded, however this is noticeable trend a cross all sites so believed to be as a result of job type.</t>
  </si>
  <si>
    <t xml:space="preserve">Disk</t>
  </si>
  <si>
    <t xml:space="preserve">Dell XMA  storage delivered.</t>
  </si>
  <si>
    <t xml:space="preserve">CASTOR</t>
  </si>
  <si>
    <t xml:space="preserve">A large proportion of LHCb. Disk servers are failing.  This is to be expected as the hardware being run is somewhat old.</t>
  </si>
  <si>
    <t xml:space="preserve">ECHO</t>
  </si>
  <si>
    <t xml:space="preserve">Grid Deployment</t>
  </si>
  <si>
    <t xml:space="preserve">
Ongoing CE issues  have been resolved after upgrade.  LSST issues with running jobs resolved.</t>
  </si>
  <si>
    <t xml:space="preserve">Core Services</t>
  </si>
  <si>
    <t xml:space="preserve">CMS CPU efficiencies varying over a weekly period.  Appears to be as the result of log collection job types</t>
  </si>
  <si>
    <t xml:space="preserve">Production Team</t>
  </si>
  <si>
    <t xml:space="preserve">Gareth Smith, Production Manager  has retired.</t>
  </si>
  <si>
    <t xml:space="preserve">Network</t>
  </si>
  <si>
    <t xml:space="preserve">IPv6 experiencing packet loss ~3%  with a max of 6%. </t>
  </si>
  <si>
    <t xml:space="preserve">Machine Room Operations</t>
  </si>
  <si>
    <t xml:space="preserve">Database team</t>
  </si>
  <si>
    <t xml:space="preserve">APEL</t>
  </si>
  <si>
    <t xml:space="preserve">No major problems encountered. Service ran smoothly during this period. Response time for GGUS tickets within OLA.</t>
  </si>
  <si>
    <t xml:space="preserve">None</t>
  </si>
  <si>
    <t xml:space="preserve">GOCDB</t>
  </si>
  <si>
    <t xml:space="preserve">Note:To get multiple lines per box use Alt-Return</t>
  </si>
  <si>
    <t xml:space="preserve">General Risks</t>
  </si>
  <si>
    <t xml:space="preserve">Risk</t>
  </si>
  <si>
    <t xml:space="preserve">Mitigating Action</t>
  </si>
  <si>
    <t xml:space="preserve">The GridPP5 proposal requires the Tier1 to transition to supplying a more diverse community and that economies (in this context as seen by GridPP) can be found by providing a shared resource.This may prove to be impossible or require more effort than available.</t>
  </si>
  <si>
    <t xml:space="preserve">Close engagement with UKT0 project.</t>
  </si>
  <si>
    <t xml:space="preserve">Insitute or area specific risks</t>
  </si>
  <si>
    <t xml:space="preserve">CERN will stop support for Castor.</t>
  </si>
  <si>
    <t xml:space="preserve">CERN have announces a replacement for Castor (for tape). An evaluation of the best way forward for future tape storage is being made.</t>
  </si>
  <si>
    <t xml:space="preserve">CEPH ECHO will not deliver storage reliably or be able to deliver the necessary access bandwidth.</t>
  </si>
  <si>
    <t xml:space="preserve">Tight management of the ECHO project is carefuly monitoring progress. There has been one notable data loss incident. However, experience so far corroborates that expected from the risk register. Atlas and CMS have now switched to using Echo and it is delivering sufficient bandwidth. Any bandwidth limitations are in the gateways and here we are providing gateways on each of our worker nodes as well as the general usage ones. This risk is diminishing as operational experience builds.</t>
  </si>
  <si>
    <t xml:space="preserve">Oracle withdraw support for existing Tape infrastucture.</t>
  </si>
  <si>
    <t xml:space="preserve">No indication from Oracle that existing tape infrastructure will end of life. Maintain close links with Oracle in order to identify any future issues.</t>
  </si>
  <si>
    <t xml:space="preserve">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</si>
  <si>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</si>
  <si>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 xml:space="preserve">Staffing recruitment and retention remains very problematic. </t>
  </si>
  <si>
    <t xml:space="preserve">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</si>
  <si>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 xml:space="preserve">Objectives and Deliverables for Last Quarter</t>
  </si>
  <si>
    <t xml:space="preserve">Objective/Deliverable</t>
  </si>
  <si>
    <t xml:space="preserve">Due Date</t>
  </si>
  <si>
    <t xml:space="preserve">Metric/Output</t>
  </si>
  <si>
    <t xml:space="preserve">1.4.11 FY18 Purchases in production</t>
  </si>
  <si>
    <t xml:space="preserve">Apr '19</t>
  </si>
  <si>
    <t xml:space="preserve">Objectives and Deliverables for Next Quarter</t>
  </si>
  <si>
    <t xml:space="preserve">Summary of Comments</t>
  </si>
  <si>
    <t xml:space="preserve">1.4.12 Tier-1 WLCG MoU commitments met</t>
  </si>
  <si>
    <t xml:space="preserve">May '19</t>
  </si>
  <si>
    <t xml:space="preserve">1.4.13 Produce the purchasing plan</t>
  </si>
  <si>
    <t xml:space="preserve">June '19</t>
  </si>
  <si>
    <t xml:space="preserve">Objectives and Deliverables needing Rescheduling</t>
  </si>
  <si>
    <t xml:space="preserve">Old Due Date</t>
  </si>
  <si>
    <t xml:space="preserve">New Due Date</t>
  </si>
  <si>
    <t xml:space="preserve">Reason</t>
  </si>
  <si>
    <t xml:space="preserve">New Objectives and Deliverables </t>
  </si>
  <si>
    <t xml:space="preserve">Ceph storage deployment: a) Extra disks into Echo, b) New disk servers into Ceph Dev</t>
  </si>
  <si>
    <t xml:space="preserve">LHCb Castor disk instance has been completely disabled for LHCb and will be decommissioned.</t>
  </si>
  <si>
    <t xml:space="preserve">"Haunting of Echo" :   The time it took to generate new CRUSH maps was longer than the default time out, hence Quorum was frequently dropping. </t>
  </si>
  <si>
    <t xml:space="preserve">
</t>
  </si>
  <si>
    <t xml:space="preserve">Ongoing CE issues  have been resolved after upgrade.  LSST issues with running jobs resolved.</t>
  </si>
  <si>
    <t xml:space="preserve">Catalin Condurache as resigned  to go an work for EGI.</t>
  </si>
  <si>
    <t xml:space="preserve">RT Ticketing System successfully upgraded from circa 2008 version</t>
  </si>
  <si>
    <t xml:space="preserve">Resignation of John Kelly.  He wished to explore a different career avenue.  This leaves the Production Team very much under-maned </t>
  </si>
  <si>
    <t xml:space="preserve">Continue to extend</t>
  </si>
  <si>
    <t xml:space="preserve">Tier-1  is currently running " business as usual".   No major outages/issues during this period.  This has been helped in part by the fact the LHC are not collecting data but this should not distract from the fact RAL Tier-1 is running as it should do.</t>
  </si>
  <si>
    <t xml:space="preserve">ATLAS performed a large tape recall and reprocessing campaign. The tape recall started on the 7th August.  Castor been output data at 1.4GB/s for over a week.  RAL was the first to finish and outperformed similar sized Tier-1 by a factor of two. </t>
  </si>
  <si>
    <t xml:space="preserve">We have experienced numerous GW XRootD issues - functional and GW cluster checks failing.  Investigations in to which have revealed various causes, not least insufficient logging in areas that need resolving.</t>
  </si>
  <si>
    <t xml:space="preserve">Grid services  still remain under resourced after Catalin Condurache left RAL to join EGI.</t>
  </si>
  <si>
    <t xml:space="preserve">We have had Brian Davis join the production team to replace John Kelly.  Brian time is allocated 70% to Tier-1, 30% to Facilities  (Diamond)</t>
  </si>
  <si>
    <t xml:space="preserve">With John Kelly leaving Primary On-Call is now down to one person - the Production Manager.  As the LHC is not collecting data, call-outs are at a minimum and  the production manager is happy to  perform this role.  However, should  there is a drastic increase in call-outs this may need to be reviewed.</t>
  </si>
  <si>
    <t xml:space="preserve">The IPv6 packet loss issue has finally been resolved. The RCA was a router in the Janet core, not at RAL.</t>
  </si>
  <si>
    <t xml:space="preserve">Oracle withdraw support for existing Tape infrastructure.</t>
  </si>
  <si>
    <t xml:space="preserve">EVAL Notes</t>
  </si>
  <si>
    <t xml:space="preserve">Publications</t>
  </si>
  <si>
    <t xml:space="preserve"> 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</si>
  <si>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</si>
  <si>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</si>
  <si>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</si>
  <si>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</si>
  <si>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</si>
  <si>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</si>
  <si>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</si>
  <si>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</si>
  <si>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Other outputs and Knowledge</t>
  </si>
</sst>
</file>

<file path=xl/styles.xml><?xml version="1.0" encoding="utf-8"?>
<styleSheet xmlns="http://schemas.openxmlformats.org/spreadsheetml/2006/main">
  <numFmts count="11">
    <numFmt numFmtId="164" formatCode="General"/>
    <numFmt numFmtId="165" formatCode="0.000"/>
    <numFmt numFmtId="166" formatCode="0%"/>
    <numFmt numFmtId="167" formatCode="0"/>
    <numFmt numFmtId="168" formatCode="0.00"/>
    <numFmt numFmtId="169" formatCode="0.00%"/>
    <numFmt numFmtId="170" formatCode="0.0%"/>
    <numFmt numFmtId="171" formatCode="MMM\-YY"/>
    <numFmt numFmtId="172" formatCode="DD\-MMM\-YY"/>
    <numFmt numFmtId="173" formatCode="@"/>
    <numFmt numFmtId="174" formatCode="DD/MM/YYYY"/>
  </numFmts>
  <fonts count="12">
    <font>
      <sz val="10"/>
      <name val="Arial"/>
      <family val="0"/>
      <charset val="1"/>
    </font>
    <font>
      <sz val="10"/>
      <name val="Arial"/>
      <family val="0"/>
    </font>
    <font>
      <sz val="10"/>
      <name val="Arial"/>
      <family val="0"/>
    </font>
    <font>
      <sz val="10"/>
      <name val="Arial"/>
      <family val="0"/>
    </font>
    <font>
      <b val="true"/>
      <sz val="10"/>
      <name val="Arial"/>
      <family val="2"/>
      <charset val="1"/>
    </font>
    <font>
      <sz val="10"/>
      <name val="Arial"/>
      <family val="2"/>
      <charset val="1"/>
    </font>
    <font>
      <i val="true"/>
      <sz val="10"/>
      <name val="Arial"/>
      <family val="2"/>
      <charset val="1"/>
    </font>
    <font>
      <sz val="12"/>
      <name val="Arial"/>
      <family val="2"/>
      <charset val="1"/>
    </font>
    <font>
      <b val="true"/>
      <sz val="12"/>
      <name val="Arial"/>
      <family val="2"/>
      <charset val="1"/>
    </font>
    <font>
      <b val="true"/>
      <sz val="9"/>
      <color rgb="FF000000"/>
      <name val="Tahoma"/>
      <family val="2"/>
      <charset val="1"/>
    </font>
    <font>
      <sz val="9"/>
      <color rgb="FF000000"/>
      <name val="Tahoma"/>
      <family val="2"/>
      <charset val="1"/>
    </font>
    <font>
      <sz val="10"/>
      <color rgb="FFFF0000"/>
      <name val="Arial"/>
      <family val="2"/>
      <charset val="1"/>
    </font>
  </fonts>
  <fills count="17">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000"/>
      </patternFill>
    </fill>
    <fill>
      <patternFill patternType="solid">
        <fgColor rgb="FFDD0806"/>
        <bgColor rgb="FFFF0000"/>
      </patternFill>
    </fill>
    <fill>
      <patternFill patternType="solid">
        <fgColor rgb="FFCD99FF"/>
        <bgColor rgb="FFCC99FF"/>
      </patternFill>
    </fill>
    <fill>
      <patternFill patternType="solid">
        <fgColor rgb="FF000000"/>
        <bgColor rgb="FF003300"/>
      </patternFill>
    </fill>
    <fill>
      <patternFill patternType="solid">
        <fgColor rgb="FF7030A0"/>
        <bgColor rgb="FF993366"/>
      </patternFill>
    </fill>
    <fill>
      <patternFill patternType="solid">
        <fgColor rgb="FF00B050"/>
        <bgColor rgb="FF1FB714"/>
      </patternFill>
    </fill>
    <fill>
      <patternFill patternType="solid">
        <fgColor rgb="FFFFC000"/>
        <bgColor rgb="FFFF9900"/>
      </patternFill>
    </fill>
    <fill>
      <patternFill patternType="solid">
        <fgColor rgb="FFFF0000"/>
        <bgColor rgb="FFDD0806"/>
      </patternFill>
    </fill>
    <fill>
      <patternFill patternType="solid">
        <fgColor rgb="FFFFFFFF"/>
        <bgColor rgb="FFFFFFCC"/>
      </patternFill>
    </fill>
    <fill>
      <patternFill patternType="solid">
        <fgColor rgb="FF00CCFF"/>
        <bgColor rgb="FF33CCCC"/>
      </patternFill>
    </fill>
    <fill>
      <patternFill patternType="solid">
        <fgColor rgb="FF0000D4"/>
        <bgColor rgb="FF0000FF"/>
      </patternFill>
    </fill>
    <fill>
      <patternFill patternType="solid">
        <fgColor rgb="FFCC99FF"/>
        <bgColor rgb="FFCD99FF"/>
      </patternFill>
    </fill>
  </fills>
  <borders count="73">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diagonal/>
    </border>
    <border diagonalUp="false" diagonalDown="false">
      <left style="medium"/>
      <right style="medium"/>
      <top/>
      <bottom/>
      <diagonal/>
    </border>
    <border diagonalUp="false" diagonalDown="false">
      <left style="medium"/>
      <right/>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right/>
      <top style="thin"/>
      <bottom/>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right style="thin"/>
      <top/>
      <bottom style="thin"/>
      <diagonal/>
    </border>
    <border diagonalUp="false" diagonalDown="false">
      <left style="thick"/>
      <right style="medium"/>
      <top style="thick"/>
      <bottom style="thin"/>
      <diagonal/>
    </border>
    <border diagonalUp="false" diagonalDown="false">
      <left style="thin"/>
      <right style="medium"/>
      <top style="thick"/>
      <bottom style="thin"/>
      <diagonal/>
    </border>
    <border diagonalUp="false" diagonalDown="false">
      <left style="thin"/>
      <right/>
      <top style="thick"/>
      <bottom style="thin"/>
      <diagonal/>
    </border>
    <border diagonalUp="false" diagonalDown="false">
      <left style="thin"/>
      <right style="thin"/>
      <top style="thick"/>
      <bottom style="thin"/>
      <diagonal/>
    </border>
    <border diagonalUp="false" diagonalDown="false">
      <left style="thin"/>
      <right style="thick"/>
      <top style="thick"/>
      <bottom style="thin"/>
      <diagonal/>
    </border>
    <border diagonalUp="false" diagonalDown="false">
      <left style="thick"/>
      <right style="medium"/>
      <top style="thin"/>
      <bottom style="thin"/>
      <diagonal/>
    </border>
    <border diagonalUp="false" diagonalDown="false">
      <left style="thin"/>
      <right style="thick"/>
      <top style="thin"/>
      <bottom style="thin"/>
      <diagonal/>
    </border>
    <border diagonalUp="false" diagonalDown="false">
      <left style="thin"/>
      <right/>
      <top style="thin"/>
      <bottom/>
      <diagonal/>
    </border>
    <border diagonalUp="false" diagonalDown="false">
      <left/>
      <right style="thick"/>
      <top/>
      <bottom/>
      <diagonal/>
    </border>
    <border diagonalUp="false" diagonalDown="false">
      <left style="thick"/>
      <right style="medium"/>
      <top style="thin"/>
      <bottom style="thick"/>
      <diagonal/>
    </border>
    <border diagonalUp="false" diagonalDown="false">
      <left style="thin"/>
      <right style="medium"/>
      <top style="thin"/>
      <bottom style="thick"/>
      <diagonal/>
    </border>
    <border diagonalUp="false" diagonalDown="false">
      <left style="thin"/>
      <right/>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medium"/>
      <right style="thin"/>
      <top/>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thin"/>
      <top style="medium"/>
      <bottom/>
      <diagonal/>
    </border>
    <border diagonalUp="false" diagonalDown="false">
      <left style="thin"/>
      <right style="medium"/>
      <top style="medium"/>
      <botto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top style="thin"/>
      <bottom style="thin"/>
      <diagonal/>
    </border>
    <border diagonalUp="false" diagonalDown="false">
      <left/>
      <right style="thin"/>
      <top style="thin"/>
      <bottom/>
      <diagonal/>
    </border>
    <border diagonalUp="false" diagonalDown="false">
      <left/>
      <right/>
      <top/>
      <bottom style="medium"/>
      <diagonal/>
    </border>
    <border diagonalUp="false" diagonalDown="false">
      <left/>
      <right style="thin"/>
      <top style="medium"/>
      <bottom style="medium"/>
      <diagonal/>
    </border>
    <border diagonalUp="false" diagonalDown="false">
      <left style="medium"/>
      <right style="medium"/>
      <top style="thin"/>
      <bottom style="medium"/>
      <diagonal/>
    </border>
    <border diagonalUp="false" diagonalDown="false">
      <left style="thin"/>
      <right style="thin"/>
      <top style="medium"/>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style="thin"/>
      <top style="thin"/>
      <bottom style="medium"/>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true" applyAlignment="true" applyProtection="true">
      <alignment horizontal="general" vertical="bottom" textRotation="0" wrapText="false" indent="0" shrinkToFit="false"/>
      <protection locked="true" hidden="false"/>
    </xf>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4" fillId="4"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5" fillId="5"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0" fillId="6" borderId="9"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4" fillId="4" borderId="10"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7" borderId="9"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8"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4" fillId="2" borderId="15" xfId="0" applyFont="true" applyBorder="true" applyAlignment="false" applyProtection="false">
      <alignment horizontal="general" vertical="bottom" textRotation="0" wrapText="false" indent="0" shrinkToFit="false"/>
      <protection locked="true" hidden="false"/>
    </xf>
    <xf numFmtId="164" fontId="4" fillId="2" borderId="4" xfId="0" applyFont="true" applyBorder="true" applyAlignment="false" applyProtection="false">
      <alignment horizontal="general" vertical="bottom" textRotation="0" wrapText="false" indent="0" shrinkToFit="false"/>
      <protection locked="true" hidden="false"/>
    </xf>
    <xf numFmtId="164" fontId="4" fillId="2" borderId="14" xfId="0" applyFont="true" applyBorder="true" applyAlignment="true" applyProtection="false">
      <alignment horizontal="general" vertical="bottom" textRotation="0" wrapText="true" indent="0" shrinkToFit="false"/>
      <protection locked="true" hidden="false"/>
    </xf>
    <xf numFmtId="165" fontId="4" fillId="4" borderId="9" xfId="0" applyFont="true" applyBorder="tru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false" applyProtection="false">
      <alignment horizontal="general" vertical="bottom" textRotation="0" wrapText="false" indent="0" shrinkToFit="false"/>
      <protection locked="true" hidden="false"/>
    </xf>
    <xf numFmtId="164" fontId="5" fillId="0" borderId="16" xfId="0" applyFont="true" applyBorder="true" applyAlignment="true" applyProtection="false">
      <alignment horizontal="left" vertical="top" textRotation="0" wrapText="true" indent="0" shrinkToFit="false"/>
      <protection locked="true" hidden="false"/>
    </xf>
    <xf numFmtId="166" fontId="5" fillId="0" borderId="17" xfId="0" applyFont="true" applyBorder="true" applyAlignment="true" applyProtection="false">
      <alignment horizontal="left" vertical="top" textRotation="0" wrapText="true" indent="0" shrinkToFit="false"/>
      <protection locked="true" hidden="false"/>
    </xf>
    <xf numFmtId="166" fontId="5" fillId="10" borderId="16" xfId="0" applyFont="true" applyBorder="true" applyAlignment="true" applyProtection="false">
      <alignment horizontal="left" vertical="top" textRotation="0" wrapText="true" indent="0" shrinkToFit="false"/>
      <protection locked="true" hidden="false"/>
    </xf>
    <xf numFmtId="166" fontId="5" fillId="11" borderId="16" xfId="0" applyFont="true" applyBorder="true" applyAlignment="true" applyProtection="false">
      <alignment horizontal="left" vertical="top" textRotation="0" wrapText="true" indent="0" shrinkToFit="false"/>
      <protection locked="true" hidden="false"/>
    </xf>
    <xf numFmtId="164" fontId="0" fillId="0" borderId="18" xfId="0" applyFont="false" applyBorder="true" applyAlignment="true" applyProtection="false">
      <alignment horizontal="general" vertical="bottom" textRotation="0" wrapText="true" indent="0" shrinkToFit="false"/>
      <protection locked="true" hidden="false"/>
    </xf>
    <xf numFmtId="164" fontId="5" fillId="0" borderId="18" xfId="0" applyFont="true" applyBorder="true" applyAlignment="true" applyProtection="false">
      <alignment horizontal="general" vertical="bottom" textRotation="0" wrapText="true" indent="0" shrinkToFit="false"/>
      <protection locked="true" hidden="false"/>
    </xf>
    <xf numFmtId="164" fontId="4" fillId="2" borderId="6" xfId="0" applyFont="true" applyBorder="true" applyAlignment="true" applyProtection="false">
      <alignment horizontal="general" vertical="bottom" textRotation="0" wrapText="true" indent="0" shrinkToFit="false"/>
      <protection locked="true" hidden="false"/>
    </xf>
    <xf numFmtId="166" fontId="5" fillId="12" borderId="16" xfId="0" applyFont="true" applyBorder="true" applyAlignment="true" applyProtection="false">
      <alignment horizontal="left" vertical="top" textRotation="0" wrapText="true" indent="0" shrinkToFit="false"/>
      <protection locked="true" hidden="false"/>
    </xf>
    <xf numFmtId="166" fontId="5" fillId="0" borderId="19" xfId="0" applyFont="true" applyBorder="true" applyAlignment="true" applyProtection="false">
      <alignment horizontal="left" vertical="top" textRotation="0" wrapText="true" indent="0" shrinkToFit="false"/>
      <protection locked="true" hidden="false"/>
    </xf>
    <xf numFmtId="167" fontId="5" fillId="0" borderId="17" xfId="0" applyFont="true" applyBorder="true" applyAlignment="true" applyProtection="false">
      <alignment horizontal="left" vertical="top" textRotation="0" wrapText="true" indent="0" shrinkToFit="false"/>
      <protection locked="true" hidden="false"/>
    </xf>
    <xf numFmtId="164" fontId="0" fillId="10" borderId="16" xfId="0" applyFont="false" applyBorder="true" applyAlignment="true" applyProtection="false">
      <alignment horizontal="left"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12" borderId="16" xfId="0" applyFont="false" applyBorder="true" applyAlignment="true" applyProtection="false">
      <alignment horizontal="left" vertical="bottom" textRotation="0" wrapText="false" indent="0" shrinkToFit="false"/>
      <protection locked="true" hidden="false"/>
    </xf>
    <xf numFmtId="164" fontId="0" fillId="0" borderId="18" xfId="0" applyFont="true" applyBorder="true" applyAlignment="true" applyProtection="false">
      <alignment horizontal="general" vertical="bottom" textRotation="0" wrapText="true" indent="0" shrinkToFit="false"/>
      <protection locked="true" hidden="false"/>
    </xf>
    <xf numFmtId="164" fontId="4" fillId="4" borderId="20" xfId="0" applyFont="true" applyBorder="true" applyAlignment="true" applyProtection="false">
      <alignment horizontal="general" vertical="bottom" textRotation="0" wrapText="true" indent="0" shrinkToFit="false"/>
      <protection locked="true" hidden="false"/>
    </xf>
    <xf numFmtId="164" fontId="5" fillId="9" borderId="21" xfId="0" applyFont="true" applyBorder="true" applyAlignment="true" applyProtection="false">
      <alignment horizontal="general" vertical="bottom" textRotation="0" wrapText="true" indent="0" shrinkToFit="false"/>
      <protection locked="true" hidden="false"/>
    </xf>
    <xf numFmtId="164" fontId="5" fillId="0" borderId="21" xfId="0" applyFont="true" applyBorder="true" applyAlignment="true" applyProtection="false">
      <alignment horizontal="left" vertical="top" textRotation="0" wrapText="true" indent="0" shrinkToFit="false"/>
      <protection locked="true" hidden="false"/>
    </xf>
    <xf numFmtId="164" fontId="4" fillId="4" borderId="22" xfId="0" applyFont="true" applyBorder="true" applyAlignment="true" applyProtection="false">
      <alignment horizontal="general" vertical="bottom" textRotation="0" wrapText="true" indent="0" shrinkToFit="false"/>
      <protection locked="true" hidden="false"/>
    </xf>
    <xf numFmtId="164" fontId="5" fillId="13" borderId="16" xfId="0" applyFont="true" applyBorder="true" applyAlignment="true" applyProtection="false">
      <alignment horizontal="general" vertical="bottom" textRotation="0" wrapText="true" indent="0" shrinkToFit="false"/>
      <protection locked="true" hidden="false"/>
    </xf>
    <xf numFmtId="165" fontId="4" fillId="0" borderId="9" xfId="0" applyFont="true" applyBorder="true" applyAlignment="true" applyProtection="false">
      <alignment horizontal="general" vertical="bottom" textRotation="0" wrapText="true" indent="0" shrinkToFit="false"/>
      <protection locked="true" hidden="false"/>
    </xf>
    <xf numFmtId="164" fontId="4" fillId="0" borderId="22" xfId="0" applyFont="true" applyBorder="true" applyAlignment="true" applyProtection="false">
      <alignment horizontal="general" vertical="bottom" textRotation="0" wrapText="true" indent="0" shrinkToFit="false"/>
      <protection locked="true" hidden="false"/>
    </xf>
    <xf numFmtId="164" fontId="0" fillId="0" borderId="23" xfId="0" applyFont="false" applyBorder="true" applyAlignment="true" applyProtection="false">
      <alignment horizontal="general" vertical="bottom" textRotation="0" wrapText="true" indent="0" shrinkToFit="false"/>
      <protection locked="true" hidden="false"/>
    </xf>
    <xf numFmtId="164" fontId="0" fillId="0" borderId="16" xfId="0" applyFont="false" applyBorder="true" applyAlignment="true" applyProtection="false">
      <alignment horizontal="general" vertical="bottom" textRotation="0" wrapText="true" indent="0" shrinkToFit="false"/>
      <protection locked="true" hidden="false"/>
    </xf>
    <xf numFmtId="166" fontId="5" fillId="0" borderId="24" xfId="0" applyFont="true" applyBorder="true" applyAlignment="true" applyProtection="false">
      <alignment horizontal="left" vertical="top" textRotation="0" wrapText="true" indent="0" shrinkToFit="false"/>
      <protection locked="true" hidden="false"/>
    </xf>
    <xf numFmtId="166" fontId="5" fillId="0" borderId="25" xfId="0" applyFont="true" applyBorder="true" applyAlignment="true" applyProtection="false">
      <alignment horizontal="left" vertical="top" textRotation="0" wrapText="true" indent="0" shrinkToFit="false"/>
      <protection locked="true" hidden="false"/>
    </xf>
    <xf numFmtId="164" fontId="4" fillId="4" borderId="26" xfId="0" applyFont="true" applyBorder="true" applyAlignment="true" applyProtection="false">
      <alignment horizontal="general" vertical="bottom" textRotation="0" wrapText="true" indent="0" shrinkToFit="false"/>
      <protection locked="true" hidden="false"/>
    </xf>
    <xf numFmtId="164" fontId="5" fillId="9" borderId="16" xfId="0" applyFont="true" applyBorder="true" applyAlignment="true" applyProtection="false">
      <alignment horizontal="general" vertical="bottom" textRotation="0" wrapText="true" indent="0" shrinkToFit="false"/>
      <protection locked="true" hidden="false"/>
    </xf>
    <xf numFmtId="164" fontId="5" fillId="0" borderId="16" xfId="0" applyFont="true" applyBorder="true" applyAlignment="true" applyProtection="false">
      <alignment horizontal="general" vertical="top" textRotation="0" wrapText="false" indent="0" shrinkToFit="false"/>
      <protection locked="true" hidden="false"/>
    </xf>
    <xf numFmtId="166" fontId="0" fillId="10" borderId="17" xfId="0" applyFont="true" applyBorder="true" applyAlignment="true" applyProtection="false">
      <alignment horizontal="left" vertical="top" textRotation="0" wrapText="true" indent="0" shrinkToFit="false"/>
      <protection locked="true" hidden="false"/>
    </xf>
    <xf numFmtId="166" fontId="0" fillId="10" borderId="16" xfId="0" applyFont="true" applyBorder="true" applyAlignment="true" applyProtection="false">
      <alignment horizontal="left" vertical="top" textRotation="0" wrapText="true" indent="0" shrinkToFit="false"/>
      <protection locked="true" hidden="false"/>
    </xf>
    <xf numFmtId="164" fontId="4" fillId="4" borderId="6"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true" applyProtection="false">
      <alignment horizontal="general" vertical="bottom" textRotation="0" wrapText="true" indent="0" shrinkToFit="false"/>
      <protection locked="true" hidden="false"/>
    </xf>
    <xf numFmtId="166" fontId="5" fillId="10" borderId="17" xfId="0" applyFont="true" applyBorder="true" applyAlignment="true" applyProtection="false">
      <alignment horizontal="left" vertical="top" textRotation="0" wrapText="true" indent="0" shrinkToFit="false"/>
      <protection locked="true" hidden="false"/>
    </xf>
    <xf numFmtId="164" fontId="0" fillId="0" borderId="18" xfId="0" applyFont="true" applyBorder="true" applyAlignment="true" applyProtection="true">
      <alignment horizontal="left" vertical="top" textRotation="0" wrapText="true" indent="0" shrinkToFit="false"/>
      <protection locked="true" hidden="false"/>
    </xf>
    <xf numFmtId="164" fontId="5" fillId="0" borderId="18" xfId="0" applyFont="true" applyBorder="true" applyAlignment="true" applyProtection="false">
      <alignment horizontal="general" vertical="center" textRotation="0" wrapText="tru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8" fontId="5" fillId="10" borderId="17" xfId="0" applyFont="true" applyBorder="true" applyAlignment="true" applyProtection="false">
      <alignment horizontal="left" vertical="top" textRotation="0" wrapText="true" indent="0" shrinkToFit="false"/>
      <protection locked="true" hidden="false"/>
    </xf>
    <xf numFmtId="168" fontId="5" fillId="10" borderId="16" xfId="0" applyFont="true" applyBorder="true" applyAlignment="true" applyProtection="false">
      <alignment horizontal="left" vertical="top" textRotation="0" wrapText="true" indent="0" shrinkToFit="false"/>
      <protection locked="true" hidden="false"/>
    </xf>
    <xf numFmtId="164" fontId="5" fillId="0" borderId="18" xfId="0" applyFont="true" applyBorder="true" applyAlignment="true" applyProtection="false">
      <alignment horizontal="left" vertical="top" textRotation="0" wrapText="true" indent="0" shrinkToFit="false"/>
      <protection locked="true" hidden="false"/>
    </xf>
    <xf numFmtId="169" fontId="5" fillId="10" borderId="17" xfId="0" applyFont="true" applyBorder="true" applyAlignment="true" applyProtection="false">
      <alignment horizontal="left" vertical="top" textRotation="0" wrapText="true" indent="0" shrinkToFit="false"/>
      <protection locked="true" hidden="false"/>
    </xf>
    <xf numFmtId="169" fontId="5" fillId="10" borderId="16" xfId="0" applyFont="true" applyBorder="true" applyAlignment="true" applyProtection="false">
      <alignment horizontal="left" vertical="top" textRotation="0" wrapText="true" indent="0" shrinkToFit="false"/>
      <protection locked="true" hidden="false"/>
    </xf>
    <xf numFmtId="164" fontId="5" fillId="0" borderId="27" xfId="0" applyFont="true" applyBorder="true" applyAlignment="true" applyProtection="false">
      <alignment horizontal="general" vertical="bottom" textRotation="0" wrapText="true" indent="0" shrinkToFit="false"/>
      <protection locked="true" hidden="false"/>
    </xf>
    <xf numFmtId="165" fontId="4" fillId="4" borderId="22" xfId="0" applyFont="true" applyBorder="true" applyAlignment="true" applyProtection="false">
      <alignment horizontal="general" vertical="bottom" textRotation="0" wrapText="true" indent="0" shrinkToFit="false"/>
      <protection locked="true" hidden="false"/>
    </xf>
    <xf numFmtId="170" fontId="5" fillId="12" borderId="17" xfId="0" applyFont="true" applyBorder="true" applyAlignment="true" applyProtection="false">
      <alignment horizontal="left" vertical="top" textRotation="0" wrapText="true" indent="0" shrinkToFit="false"/>
      <protection locked="true" hidden="false"/>
    </xf>
    <xf numFmtId="170" fontId="5" fillId="11" borderId="17" xfId="0" applyFont="true" applyBorder="true" applyAlignment="true" applyProtection="false">
      <alignment horizontal="left" vertical="top" textRotation="0" wrapText="true" indent="0" shrinkToFit="false"/>
      <protection locked="true" hidden="false"/>
    </xf>
    <xf numFmtId="170" fontId="5" fillId="10" borderId="17"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general" vertical="bottom" textRotation="0" wrapText="true" indent="0" shrinkToFit="false"/>
      <protection locked="true" hidden="false"/>
    </xf>
    <xf numFmtId="164" fontId="5" fillId="0" borderId="6" xfId="0" applyFont="true" applyBorder="true" applyAlignment="true" applyProtection="false">
      <alignment horizontal="general" vertical="top" textRotation="0" wrapText="true" indent="0" shrinkToFit="false"/>
      <protection locked="true" hidden="false"/>
    </xf>
    <xf numFmtId="166" fontId="5" fillId="12" borderId="17" xfId="0" applyFont="true" applyBorder="true" applyAlignment="true" applyProtection="false">
      <alignment horizontal="left" vertical="top" textRotation="0" wrapText="true" indent="0" shrinkToFit="false"/>
      <protection locked="true" hidden="false"/>
    </xf>
    <xf numFmtId="166" fontId="5" fillId="11" borderId="17"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5" fontId="4" fillId="0" borderId="28" xfId="0" applyFont="true" applyBorder="true" applyAlignment="true" applyProtection="false">
      <alignment horizontal="general" vertical="bottom" textRotation="0" wrapText="true" indent="0" shrinkToFit="false"/>
      <protection locked="true" hidden="false"/>
    </xf>
    <xf numFmtId="164" fontId="4" fillId="0" borderId="20" xfId="0" applyFont="true" applyBorder="true" applyAlignment="true" applyProtection="false">
      <alignment horizontal="general" vertical="bottom" textRotation="0" wrapText="true" indent="0" shrinkToFit="false"/>
      <protection locked="true" hidden="false"/>
    </xf>
    <xf numFmtId="164" fontId="0" fillId="0" borderId="29" xfId="0" applyFont="false" applyBorder="true" applyAlignment="true" applyProtection="false">
      <alignment horizontal="general" vertical="bottom" textRotation="0" wrapText="true" indent="0" shrinkToFit="false"/>
      <protection locked="true" hidden="false"/>
    </xf>
    <xf numFmtId="164" fontId="0" fillId="0" borderId="21" xfId="0" applyFont="false" applyBorder="true" applyAlignment="true" applyProtection="false">
      <alignment horizontal="general" vertical="bottom" textRotation="0" wrapText="true" indent="0" shrinkToFit="false"/>
      <protection locked="true" hidden="false"/>
    </xf>
    <xf numFmtId="164" fontId="4" fillId="2" borderId="26" xfId="0" applyFont="true" applyBorder="true" applyAlignment="true" applyProtection="false">
      <alignment horizontal="general" vertical="bottom" textRotation="0" wrapText="true" indent="0" shrinkToFit="false"/>
      <protection locked="true" hidden="false"/>
    </xf>
    <xf numFmtId="168" fontId="0" fillId="10" borderId="17" xfId="0" applyFont="false" applyBorder="true" applyAlignment="true" applyProtection="false">
      <alignment horizontal="general" vertical="bottom" textRotation="0" wrapText="true" indent="0" shrinkToFit="false"/>
      <protection locked="true" hidden="false"/>
    </xf>
    <xf numFmtId="169" fontId="0" fillId="10" borderId="17" xfId="0" applyFont="false" applyBorder="true" applyAlignment="true" applyProtection="false">
      <alignment horizontal="general" vertical="bottom" textRotation="0" wrapText="true" indent="0" shrinkToFit="false"/>
      <protection locked="true" hidden="false"/>
    </xf>
    <xf numFmtId="164" fontId="4" fillId="2" borderId="11" xfId="0" applyFont="true" applyBorder="true" applyAlignment="true" applyProtection="false">
      <alignment horizontal="general" vertical="bottom" textRotation="0" wrapText="true" indent="0" shrinkToFit="false"/>
      <protection locked="true" hidden="false"/>
    </xf>
    <xf numFmtId="164" fontId="0" fillId="10" borderId="17" xfId="0" applyFont="false" applyBorder="true" applyAlignment="true" applyProtection="false">
      <alignment horizontal="general" vertical="bottom" textRotation="0" wrapText="true" indent="0" shrinkToFit="false"/>
      <protection locked="true" hidden="false"/>
    </xf>
    <xf numFmtId="167" fontId="0" fillId="10" borderId="17" xfId="0" applyFont="false" applyBorder="true" applyAlignment="true" applyProtection="false">
      <alignment horizontal="general" vertical="bottom" textRotation="0" wrapText="true" indent="0" shrinkToFit="false"/>
      <protection locked="true" hidden="false"/>
    </xf>
    <xf numFmtId="165" fontId="4" fillId="0" borderId="0" xfId="0" applyFont="true" applyBorder="true" applyAlignment="true" applyProtection="false">
      <alignment horizontal="general" vertical="bottom" textRotation="0" wrapText="true" indent="0" shrinkToFit="false"/>
      <protection locked="true" hidden="false"/>
    </xf>
    <xf numFmtId="164" fontId="0" fillId="4" borderId="30" xfId="0" applyFont="true" applyBorder="true" applyAlignment="true" applyProtection="false">
      <alignment horizontal="justify" vertical="bottom" textRotation="0" wrapText="true" indent="0" shrinkToFit="false"/>
      <protection locked="true" hidden="false"/>
    </xf>
    <xf numFmtId="164" fontId="0" fillId="4" borderId="31" xfId="0" applyFont="false" applyBorder="true" applyAlignment="true" applyProtection="false">
      <alignment horizontal="justify" vertical="bottom" textRotation="0" wrapText="true" indent="0" shrinkToFit="false"/>
      <protection locked="true" hidden="false"/>
    </xf>
    <xf numFmtId="164" fontId="0" fillId="4" borderId="32" xfId="0" applyFont="true" applyBorder="true" applyAlignment="true" applyProtection="false">
      <alignment horizontal="justify" vertical="bottom" textRotation="0" wrapText="true" indent="0" shrinkToFit="false"/>
      <protection locked="true" hidden="false"/>
    </xf>
    <xf numFmtId="164" fontId="0" fillId="0" borderId="33" xfId="0" applyFont="false" applyBorder="true" applyAlignment="false" applyProtection="false">
      <alignment horizontal="general" vertical="bottom" textRotation="0" wrapText="false" indent="0" shrinkToFit="false"/>
      <protection locked="true" hidden="false"/>
    </xf>
    <xf numFmtId="164" fontId="0" fillId="0" borderId="33" xfId="0" applyFont="true" applyBorder="true" applyAlignment="true" applyProtection="false">
      <alignment horizontal="general" vertical="top" textRotation="0" wrapText="false" indent="0" shrinkToFit="false"/>
      <protection locked="true" hidden="false"/>
    </xf>
    <xf numFmtId="164" fontId="0" fillId="0" borderId="33" xfId="0" applyFont="false" applyBorder="true" applyAlignment="true" applyProtection="false">
      <alignment horizontal="general" vertical="bottom" textRotation="0" wrapText="true" indent="0" shrinkToFit="false"/>
      <protection locked="true" hidden="false"/>
    </xf>
    <xf numFmtId="164" fontId="0" fillId="0" borderId="32" xfId="0" applyFont="false" applyBorder="true" applyAlignment="true" applyProtection="false">
      <alignment horizontal="general" vertical="bottom" textRotation="0" wrapText="true" indent="0" shrinkToFit="false"/>
      <protection locked="true" hidden="false"/>
    </xf>
    <xf numFmtId="164" fontId="5" fillId="0" borderId="34" xfId="0" applyFont="true" applyBorder="true" applyAlignment="true" applyProtection="false">
      <alignment horizontal="general" vertical="bottom" textRotation="0" wrapText="true" indent="0" shrinkToFit="false"/>
      <protection locked="true" hidden="false"/>
    </xf>
    <xf numFmtId="164" fontId="0" fillId="4" borderId="35" xfId="0" applyFont="true" applyBorder="true" applyAlignment="true" applyProtection="false">
      <alignment horizontal="justify" vertical="bottom" textRotation="0" wrapText="true" indent="0" shrinkToFit="false"/>
      <protection locked="true" hidden="false"/>
    </xf>
    <xf numFmtId="164" fontId="0" fillId="4" borderId="6" xfId="0" applyFont="false" applyBorder="true" applyAlignment="true" applyProtection="false">
      <alignment horizontal="justify" vertical="bottom" textRotation="0" wrapText="true" indent="0" shrinkToFit="false"/>
      <protection locked="true" hidden="false"/>
    </xf>
    <xf numFmtId="164" fontId="0" fillId="4" borderId="17" xfId="0" applyFont="true" applyBorder="true" applyAlignment="true" applyProtection="false">
      <alignment horizontal="justify" vertical="bottom" textRotation="0" wrapText="true" indent="0" shrinkToFit="false"/>
      <protection locked="true" hidden="false"/>
    </xf>
    <xf numFmtId="164" fontId="0" fillId="0" borderId="16" xfId="0" applyFont="true" applyBorder="true" applyAlignment="true" applyProtection="false">
      <alignment horizontal="general" vertical="top" textRotation="0" wrapText="false" indent="0" shrinkToFit="false"/>
      <protection locked="true" hidden="false"/>
    </xf>
    <xf numFmtId="164" fontId="0" fillId="0" borderId="17" xfId="0" applyFont="false" applyBorder="true" applyAlignment="true" applyProtection="false">
      <alignment horizontal="general" vertical="bottom" textRotation="0" wrapText="true" indent="0" shrinkToFit="false"/>
      <protection locked="true" hidden="false"/>
    </xf>
    <xf numFmtId="164" fontId="0" fillId="0" borderId="36" xfId="0" applyFont="false" applyBorder="true" applyAlignment="false" applyProtection="false">
      <alignment horizontal="general" vertical="bottom" textRotation="0" wrapText="false" indent="0" shrinkToFit="false"/>
      <protection locked="true" hidden="false"/>
    </xf>
    <xf numFmtId="164" fontId="5" fillId="4" borderId="37" xfId="0" applyFont="true" applyBorder="true" applyAlignment="true" applyProtection="false">
      <alignment horizontal="justify" vertical="bottom" textRotation="0" wrapText="true" indent="0" shrinkToFit="false"/>
      <protection locked="true" hidden="false"/>
    </xf>
    <xf numFmtId="164" fontId="5" fillId="0" borderId="36" xfId="0" applyFont="true" applyBorder="true" applyAlignment="true" applyProtection="false">
      <alignment horizontal="general" vertical="bottom" textRotation="0" wrapText="true" indent="0" shrinkToFit="false"/>
      <protection locked="true" hidden="false"/>
    </xf>
    <xf numFmtId="164" fontId="0" fillId="4" borderId="35" xfId="0" applyFont="true" applyBorder="true" applyAlignment="true" applyProtection="false">
      <alignment horizontal="justify" vertical="center" textRotation="0" wrapText="true" indent="0" shrinkToFit="false"/>
      <protection locked="true" hidden="false"/>
    </xf>
    <xf numFmtId="164" fontId="0" fillId="4" borderId="6" xfId="0" applyFont="false" applyBorder="true" applyAlignment="true" applyProtection="false">
      <alignment horizontal="justify" vertical="center" textRotation="0" wrapText="true" indent="0" shrinkToFit="false"/>
      <protection locked="true" hidden="false"/>
    </xf>
    <xf numFmtId="164" fontId="5" fillId="4" borderId="37" xfId="0" applyFont="true" applyBorder="true" applyAlignment="true" applyProtection="false">
      <alignment horizontal="justify" vertical="center" textRotation="0" wrapText="tru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5" fillId="0" borderId="16" xfId="0" applyFont="tru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true" indent="0" shrinkToFit="false"/>
      <protection locked="true" hidden="false"/>
    </xf>
    <xf numFmtId="166" fontId="0" fillId="10" borderId="16" xfId="0" applyFont="false" applyBorder="true" applyAlignment="true" applyProtection="false">
      <alignment horizontal="general" vertical="center" textRotation="0" wrapText="true" indent="0" shrinkToFit="false"/>
      <protection locked="true" hidden="false"/>
    </xf>
    <xf numFmtId="164" fontId="5" fillId="0" borderId="38"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4" borderId="39" xfId="0" applyFont="true" applyBorder="true" applyAlignment="true" applyProtection="false">
      <alignment horizontal="justify" vertical="center" textRotation="0" wrapText="true" indent="0" shrinkToFit="false"/>
      <protection locked="true" hidden="false"/>
    </xf>
    <xf numFmtId="164" fontId="0" fillId="4" borderId="40" xfId="0" applyFont="false" applyBorder="true" applyAlignment="true" applyProtection="false">
      <alignment horizontal="justify" vertical="center" textRotation="0" wrapText="true" indent="0" shrinkToFit="false"/>
      <protection locked="true" hidden="false"/>
    </xf>
    <xf numFmtId="164" fontId="5" fillId="4" borderId="41" xfId="0" applyFont="true" applyBorder="true" applyAlignment="true" applyProtection="false">
      <alignment horizontal="justify" vertical="center" textRotation="0" wrapText="true" indent="0" shrinkToFit="false"/>
      <protection locked="true" hidden="false"/>
    </xf>
    <xf numFmtId="164" fontId="0" fillId="0" borderId="42" xfId="0" applyFont="false" applyBorder="true" applyAlignment="true" applyProtection="false">
      <alignment horizontal="general" vertical="center" textRotation="0" wrapText="false" indent="0" shrinkToFit="false"/>
      <protection locked="true" hidden="false"/>
    </xf>
    <xf numFmtId="164" fontId="0" fillId="0" borderId="42" xfId="0" applyFont="true" applyBorder="true" applyAlignment="true" applyProtection="false">
      <alignment horizontal="general" vertical="center" textRotation="0" wrapText="false" indent="0" shrinkToFit="false"/>
      <protection locked="true" hidden="false"/>
    </xf>
    <xf numFmtId="164" fontId="5" fillId="0" borderId="42" xfId="0" applyFont="true" applyBorder="true" applyAlignment="true" applyProtection="false">
      <alignment horizontal="general" vertical="center" textRotation="0" wrapText="false" indent="0" shrinkToFit="false"/>
      <protection locked="true" hidden="false"/>
    </xf>
    <xf numFmtId="164" fontId="0" fillId="10" borderId="42" xfId="0" applyFont="false" applyBorder="true" applyAlignment="true" applyProtection="false">
      <alignment horizontal="general" vertical="bottom" textRotation="0" wrapText="true" indent="0" shrinkToFit="false"/>
      <protection locked="true" hidden="false"/>
    </xf>
    <xf numFmtId="164" fontId="0" fillId="10" borderId="41" xfId="0" applyFont="false" applyBorder="true" applyAlignment="true" applyProtection="false">
      <alignment horizontal="general" vertical="bottom" textRotation="0" wrapText="true" indent="0" shrinkToFit="false"/>
      <protection locked="true" hidden="false"/>
    </xf>
    <xf numFmtId="164" fontId="5" fillId="0" borderId="43" xfId="0" applyFont="true" applyBorder="true" applyAlignment="true" applyProtection="false">
      <alignment horizontal="general" vertical="center" textRotation="0" wrapText="true" indent="0" shrinkToFit="false"/>
      <protection locked="true" hidden="false"/>
    </xf>
    <xf numFmtId="164" fontId="4" fillId="2" borderId="44" xfId="0" applyFont="true" applyBorder="true" applyAlignment="false" applyProtection="false">
      <alignment horizontal="general" vertical="bottom" textRotation="0" wrapText="false" indent="0" shrinkToFit="false"/>
      <protection locked="true" hidden="false"/>
    </xf>
    <xf numFmtId="164" fontId="0" fillId="2" borderId="45" xfId="0" applyFont="false" applyBorder="true" applyAlignment="false" applyProtection="false">
      <alignment horizontal="general" vertical="bottom" textRotation="0" wrapText="false" indent="0" shrinkToFit="false"/>
      <protection locked="true" hidden="false"/>
    </xf>
    <xf numFmtId="164" fontId="0" fillId="3" borderId="46" xfId="0" applyFont="false" applyBorder="true" applyAlignment="false" applyProtection="false">
      <alignment horizontal="general" vertical="bottom" textRotation="0" wrapText="false" indent="0" shrinkToFit="false"/>
      <protection locked="true" hidden="false"/>
    </xf>
    <xf numFmtId="164" fontId="0" fillId="0" borderId="47" xfId="0" applyFont="true" applyBorder="tru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0" borderId="49" xfId="0" applyFont="true" applyBorder="tru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4" fillId="4" borderId="0" xfId="0" applyFont="true" applyBorder="true" applyAlignment="false" applyProtection="false">
      <alignment horizontal="general" vertical="bottom" textRotation="0" wrapText="false" indent="0" shrinkToFit="false"/>
      <protection locked="true" hidden="false"/>
    </xf>
    <xf numFmtId="164" fontId="4" fillId="10" borderId="50" xfId="0" applyFont="true" applyBorder="true" applyAlignment="true" applyProtection="false">
      <alignment horizontal="right" vertical="bottom" textRotation="0" wrapText="false" indent="0" shrinkToFit="false"/>
      <protection locked="true" hidden="false"/>
    </xf>
    <xf numFmtId="164" fontId="0" fillId="10" borderId="6" xfId="0" applyFont="true" applyBorder="true" applyAlignment="true" applyProtection="false">
      <alignment horizontal="general" vertical="bottom" textRotation="0" wrapText="true" indent="0" shrinkToFit="false"/>
      <protection locked="true" hidden="false"/>
    </xf>
    <xf numFmtId="164" fontId="5" fillId="10" borderId="6" xfId="0" applyFont="true" applyBorder="true" applyAlignment="true" applyProtection="false">
      <alignment horizontal="general" vertical="bottom" textRotation="0" wrapText="true" indent="0" shrinkToFit="false"/>
      <protection locked="true" hidden="false"/>
    </xf>
    <xf numFmtId="171" fontId="5" fillId="10" borderId="16" xfId="0" applyFont="true" applyBorder="true" applyAlignment="false" applyProtection="false">
      <alignment horizontal="general" vertical="bottom" textRotation="0" wrapText="false" indent="0" shrinkToFit="false"/>
      <protection locked="true" hidden="false"/>
    </xf>
    <xf numFmtId="164" fontId="5" fillId="10" borderId="6" xfId="0" applyFont="true" applyBorder="true" applyAlignment="true" applyProtection="false">
      <alignment horizontal="general" vertical="top" textRotation="0" wrapText="true" indent="0" shrinkToFit="false"/>
      <protection locked="true" hidden="false"/>
    </xf>
    <xf numFmtId="171" fontId="5" fillId="10" borderId="6" xfId="0" applyFont="true" applyBorder="true" applyAlignment="true" applyProtection="false">
      <alignment horizontal="general" vertical="top" textRotation="0" wrapText="true" indent="0" shrinkToFit="false"/>
      <protection locked="true" hidden="false"/>
    </xf>
    <xf numFmtId="164" fontId="6" fillId="10" borderId="6" xfId="0" applyFont="true" applyBorder="true" applyAlignment="true" applyProtection="false">
      <alignment horizontal="general" vertical="top" textRotation="0" wrapText="true" indent="0" shrinkToFit="false"/>
      <protection locked="true" hidden="false"/>
    </xf>
    <xf numFmtId="172" fontId="5" fillId="10" borderId="6" xfId="0" applyFont="true" applyBorder="true" applyAlignment="true" applyProtection="false">
      <alignment horizontal="general" vertical="top" textRotation="0" wrapText="true" indent="0" shrinkToFit="false"/>
      <protection locked="true" hidden="false"/>
    </xf>
    <xf numFmtId="164" fontId="4" fillId="4" borderId="50" xfId="0" applyFont="true" applyBorder="true" applyAlignment="true" applyProtection="false">
      <alignment horizontal="right" vertical="bottom" textRotation="0" wrapText="false" indent="0" shrinkToFit="false"/>
      <protection locked="true" hidden="false"/>
    </xf>
    <xf numFmtId="164" fontId="5" fillId="4" borderId="6" xfId="0" applyFont="true" applyBorder="true" applyAlignment="true" applyProtection="false">
      <alignment horizontal="general" vertical="bottom" textRotation="0" wrapText="true" indent="0" shrinkToFit="false"/>
      <protection locked="true" hidden="false"/>
    </xf>
    <xf numFmtId="171" fontId="5" fillId="4" borderId="16"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44" xfId="0" applyFont="true" applyBorder="true" applyAlignment="false" applyProtection="false">
      <alignment horizontal="general" vertical="bottom" textRotation="0" wrapText="false" indent="0" shrinkToFit="false"/>
      <protection locked="true" hidden="false"/>
    </xf>
    <xf numFmtId="164" fontId="8" fillId="0" borderId="45" xfId="0" applyFont="true" applyBorder="true" applyAlignment="false" applyProtection="false">
      <alignment horizontal="general" vertical="bottom" textRotation="0" wrapText="false" indent="0" shrinkToFit="false"/>
      <protection locked="true" hidden="false"/>
    </xf>
    <xf numFmtId="164" fontId="8" fillId="0" borderId="50" xfId="0" applyFont="true" applyBorder="true" applyAlignment="false" applyProtection="false">
      <alignment horizontal="general" vertical="bottom" textRotation="0" wrapText="false" indent="0" shrinkToFit="false"/>
      <protection locked="true" hidden="false"/>
    </xf>
    <xf numFmtId="164" fontId="7" fillId="0" borderId="26"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4" fontId="7" fillId="0" borderId="11"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51" xfId="0" applyFont="true" applyBorder="true" applyAlignment="true" applyProtection="false">
      <alignment horizontal="general" vertical="bottom" textRotation="0" wrapText="true" indent="0" shrinkToFit="false"/>
      <protection locked="true" hidden="false"/>
    </xf>
    <xf numFmtId="164" fontId="8" fillId="0" borderId="52" xfId="0" applyFont="true" applyBorder="true" applyAlignment="true" applyProtection="false">
      <alignment horizontal="general" vertical="bottom" textRotation="0" wrapText="true" indent="0" shrinkToFit="false"/>
      <protection locked="true" hidden="false"/>
    </xf>
    <xf numFmtId="164" fontId="8" fillId="0" borderId="15" xfId="0" applyFont="true" applyBorder="true" applyAlignment="true" applyProtection="false">
      <alignment horizontal="general" vertical="bottom" textRotation="0" wrapText="true" indent="0" shrinkToFit="false"/>
      <protection locked="true" hidden="false"/>
    </xf>
    <xf numFmtId="164" fontId="8" fillId="0" borderId="14" xfId="0" applyFont="true" applyBorder="true" applyAlignment="true" applyProtection="false">
      <alignment horizontal="center" vertical="bottom" textRotation="0" wrapText="false" indent="0" shrinkToFit="false"/>
      <protection locked="true" hidden="false"/>
    </xf>
    <xf numFmtId="164" fontId="8" fillId="0" borderId="15" xfId="0" applyFont="tru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true" indent="0" shrinkToFit="false"/>
      <protection locked="true" hidden="false"/>
    </xf>
    <xf numFmtId="164" fontId="8" fillId="0" borderId="46" xfId="0" applyFont="true" applyBorder="true" applyAlignment="true" applyProtection="false">
      <alignment horizontal="general" vertical="bottom" textRotation="0" wrapText="true" indent="0" shrinkToFit="false"/>
      <protection locked="true" hidden="false"/>
    </xf>
    <xf numFmtId="164" fontId="8" fillId="0" borderId="53" xfId="0" applyFont="true" applyBorder="true" applyAlignment="true" applyProtection="false">
      <alignment horizontal="center" vertical="bottom" textRotation="0" wrapText="true" indent="0" shrinkToFit="false"/>
      <protection locked="true" hidden="false"/>
    </xf>
    <xf numFmtId="164" fontId="8" fillId="0" borderId="54" xfId="0" applyFont="true" applyBorder="true" applyAlignment="true" applyProtection="false">
      <alignment horizontal="center" vertical="bottom" textRotation="0" wrapText="true" indent="0" shrinkToFit="false"/>
      <protection locked="true" hidden="false"/>
    </xf>
    <xf numFmtId="164" fontId="8" fillId="0" borderId="47" xfId="0" applyFont="true" applyBorder="true" applyAlignment="true" applyProtection="false">
      <alignment horizontal="center" vertical="bottom" textRotation="0" wrapText="true" indent="0" shrinkToFit="false"/>
      <protection locked="true" hidden="false"/>
    </xf>
    <xf numFmtId="164" fontId="8" fillId="0" borderId="55" xfId="0" applyFont="true" applyBorder="true" applyAlignment="true" applyProtection="false">
      <alignment horizontal="center" vertical="bottom" textRotation="0" wrapText="true" indent="0" shrinkToFit="false"/>
      <protection locked="true" hidden="false"/>
    </xf>
    <xf numFmtId="164" fontId="8" fillId="0" borderId="56" xfId="0" applyFont="true" applyBorder="true" applyAlignment="true" applyProtection="false">
      <alignment horizontal="center" vertical="bottom" textRotation="0" wrapText="true" indent="0" shrinkToFit="false"/>
      <protection locked="true" hidden="false"/>
    </xf>
    <xf numFmtId="164" fontId="8" fillId="0" borderId="57" xfId="0" applyFont="true" applyBorder="true" applyAlignment="true" applyProtection="false">
      <alignment horizontal="general" vertical="bottom" textRotation="0" wrapText="true" indent="0" shrinkToFit="false"/>
      <protection locked="true" hidden="false"/>
    </xf>
    <xf numFmtId="164" fontId="8" fillId="0" borderId="58" xfId="20" applyFont="true" applyBorder="true" applyAlignment="false" applyProtection="false">
      <alignment horizontal="general" vertical="bottom" textRotation="0" wrapText="false" indent="0" shrinkToFit="false"/>
      <protection locked="true" hidden="false"/>
    </xf>
    <xf numFmtId="164" fontId="8" fillId="0" borderId="59" xfId="0" applyFont="true" applyBorder="true" applyAlignment="true" applyProtection="false">
      <alignment horizontal="general" vertical="bottom" textRotation="0" wrapText="true" indent="0" shrinkToFit="false"/>
      <protection locked="true" hidden="false"/>
    </xf>
    <xf numFmtId="168" fontId="7" fillId="10" borderId="16" xfId="0" applyFont="true" applyBorder="true" applyAlignment="true" applyProtection="false">
      <alignment horizontal="center" vertical="bottom" textRotation="0" wrapText="true" indent="0" shrinkToFit="false"/>
      <protection locked="true" hidden="false"/>
    </xf>
    <xf numFmtId="168" fontId="7" fillId="0" borderId="60" xfId="0" applyFont="true" applyBorder="true" applyAlignment="true" applyProtection="false">
      <alignment horizontal="general" vertical="bottom" textRotation="0" wrapText="true" indent="0" shrinkToFit="false"/>
      <protection locked="true" hidden="false"/>
    </xf>
    <xf numFmtId="168" fontId="7" fillId="0" borderId="61" xfId="0" applyFont="true" applyBorder="true" applyAlignment="true" applyProtection="false">
      <alignment horizontal="general" vertical="bottom" textRotation="0" wrapText="true" indent="0" shrinkToFit="false"/>
      <protection locked="true" hidden="false"/>
    </xf>
    <xf numFmtId="168" fontId="7" fillId="0" borderId="2" xfId="0" applyFont="true" applyBorder="true" applyAlignment="true" applyProtection="false">
      <alignment horizontal="general" vertical="bottom"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8" fillId="0" borderId="18" xfId="20" applyFont="true" applyBorder="true" applyAlignment="false" applyProtection="false">
      <alignment horizontal="general" vertical="bottom" textRotation="0" wrapText="false" indent="0" shrinkToFit="false"/>
      <protection locked="true" hidden="false"/>
    </xf>
    <xf numFmtId="164" fontId="8" fillId="0" borderId="62" xfId="0" applyFont="true" applyBorder="true" applyAlignment="true" applyProtection="false">
      <alignment horizontal="general" vertical="bottom" textRotation="0" wrapText="true" indent="0" shrinkToFit="false"/>
      <protection locked="true" hidden="false"/>
    </xf>
    <xf numFmtId="168" fontId="7" fillId="0" borderId="29" xfId="0" applyFont="true" applyBorder="true" applyAlignment="true" applyProtection="false">
      <alignment horizontal="general" vertical="bottom" textRotation="0" wrapText="true" indent="0" shrinkToFit="false"/>
      <protection locked="true" hidden="false"/>
    </xf>
    <xf numFmtId="168" fontId="7" fillId="0" borderId="23"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8" fontId="7" fillId="0" borderId="16" xfId="0" applyFont="true" applyBorder="true" applyAlignment="true" applyProtection="false">
      <alignment horizontal="general" vertical="bottom" textRotation="0" wrapText="true" indent="0" shrinkToFit="false"/>
      <protection locked="true" hidden="false"/>
    </xf>
    <xf numFmtId="168" fontId="7" fillId="0" borderId="6"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7" fillId="0" borderId="63" xfId="0" applyFont="true" applyBorder="true" applyAlignment="true" applyProtection="false">
      <alignment horizontal="general" vertical="bottom" textRotation="0" wrapText="true" indent="0" shrinkToFit="false"/>
      <protection locked="true" hidden="false"/>
    </xf>
    <xf numFmtId="164" fontId="8" fillId="0" borderId="12" xfId="0" applyFont="true" applyBorder="true" applyAlignment="false" applyProtection="false">
      <alignment horizontal="general" vertical="bottom" textRotation="0" wrapText="false" indent="0" shrinkToFit="false"/>
      <protection locked="true" hidden="false"/>
    </xf>
    <xf numFmtId="164" fontId="8" fillId="0" borderId="64" xfId="0" applyFont="true" applyBorder="true" applyAlignment="false" applyProtection="false">
      <alignment horizontal="general" vertical="bottom" textRotation="0" wrapText="false" indent="0" shrinkToFit="false"/>
      <protection locked="true" hidden="false"/>
    </xf>
    <xf numFmtId="168" fontId="8" fillId="0" borderId="65" xfId="0" applyFont="true" applyBorder="true" applyAlignment="false" applyProtection="false">
      <alignment horizontal="general" vertical="bottom" textRotation="0" wrapText="false" indent="0" shrinkToFit="false"/>
      <protection locked="true" hidden="false"/>
    </xf>
    <xf numFmtId="168" fontId="8" fillId="0" borderId="44" xfId="0" applyFont="true" applyBorder="true" applyAlignment="false" applyProtection="false">
      <alignment horizontal="general" vertical="bottom" textRotation="0" wrapText="false" indent="0" shrinkToFit="false"/>
      <protection locked="true" hidden="false"/>
    </xf>
    <xf numFmtId="168" fontId="7" fillId="0" borderId="0" xfId="0" applyFont="true" applyBorder="false" applyAlignment="false" applyProtection="false">
      <alignment horizontal="general" vertical="bottom" textRotation="0" wrapText="false" indent="0" shrinkToFit="false"/>
      <protection locked="true" hidden="false"/>
    </xf>
    <xf numFmtId="164" fontId="8" fillId="0" borderId="58" xfId="0" applyFont="true" applyBorder="true" applyAlignment="true" applyProtection="false">
      <alignment horizontal="general" vertical="bottom" textRotation="0" wrapText="true" indent="0" shrinkToFit="false"/>
      <protection locked="true" hidden="false"/>
    </xf>
    <xf numFmtId="168" fontId="7" fillId="13" borderId="60" xfId="0" applyFont="true" applyBorder="true" applyAlignment="true" applyProtection="false">
      <alignment horizontal="general" vertical="bottom" textRotation="0" wrapText="true" indent="0" shrinkToFit="false"/>
      <protection locked="true" hidden="false"/>
    </xf>
    <xf numFmtId="164" fontId="8" fillId="0" borderId="49" xfId="0" applyFont="true" applyBorder="true" applyAlignment="false" applyProtection="false">
      <alignment horizontal="general" vertical="bottom" textRotation="0" wrapText="false" indent="0" shrinkToFit="false"/>
      <protection locked="true" hidden="false"/>
    </xf>
    <xf numFmtId="164" fontId="7" fillId="0" borderId="0" xfId="20" applyFont="true" applyBorder="false" applyAlignment="false" applyProtection="false">
      <alignment horizontal="general" vertical="bottom" textRotation="0" wrapText="false" indent="0" shrinkToFit="false"/>
      <protection locked="true" hidden="false"/>
    </xf>
    <xf numFmtId="164" fontId="4" fillId="4" borderId="50" xfId="0" applyFont="tru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46" xfId="0" applyFont="true" applyBorder="true" applyAlignment="true" applyProtection="false">
      <alignment horizontal="general" vertical="bottom" textRotation="0" wrapText="true" indent="0" shrinkToFit="false"/>
      <protection locked="true" hidden="false"/>
    </xf>
    <xf numFmtId="164" fontId="4" fillId="2" borderId="4" xfId="0" applyFont="true" applyBorder="true" applyAlignment="true" applyProtection="false">
      <alignment horizontal="center" vertical="bottom" textRotation="0" wrapText="false" indent="0" shrinkToFit="false"/>
      <protection locked="true" hidden="false"/>
    </xf>
    <xf numFmtId="164" fontId="4" fillId="2" borderId="47" xfId="0" applyFont="true" applyBorder="true" applyAlignment="true" applyProtection="false">
      <alignment horizontal="center" vertical="bottom" textRotation="0" wrapText="false" indent="0" shrinkToFit="false"/>
      <protection locked="true" hidden="false"/>
    </xf>
    <xf numFmtId="164" fontId="4" fillId="0" borderId="57" xfId="0" applyFont="true" applyBorder="true" applyAlignment="true" applyProtection="false">
      <alignment horizontal="general" vertical="center" textRotation="0" wrapText="true" indent="0" shrinkToFit="false"/>
      <protection locked="true" hidden="false"/>
    </xf>
    <xf numFmtId="164" fontId="5" fillId="13" borderId="60" xfId="0" applyFont="true" applyBorder="true" applyAlignment="true" applyProtection="false">
      <alignment horizontal="general" vertical="center" textRotation="0" wrapText="true" indent="0" shrinkToFit="false"/>
      <protection locked="true" hidden="false"/>
    </xf>
    <xf numFmtId="164" fontId="5" fillId="13" borderId="2"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4" fillId="0" borderId="22" xfId="0" applyFont="true" applyBorder="true" applyAlignment="true" applyProtection="false">
      <alignment horizontal="general" vertical="center" textRotation="0" wrapText="true" indent="0" shrinkToFit="false"/>
      <protection locked="true" hidden="false"/>
    </xf>
    <xf numFmtId="164" fontId="5" fillId="13" borderId="23" xfId="0" applyFont="true" applyBorder="true" applyAlignment="true" applyProtection="false">
      <alignment horizontal="general" vertical="center" textRotation="0" wrapText="true" indent="0" shrinkToFit="false"/>
      <protection locked="true" hidden="false"/>
    </xf>
    <xf numFmtId="164" fontId="5" fillId="13" borderId="6" xfId="0" applyFont="true" applyBorder="true" applyAlignment="true" applyProtection="false">
      <alignment horizontal="left" vertical="center" textRotation="0" wrapText="true" indent="0" shrinkToFit="false"/>
      <protection locked="true" hidden="false"/>
    </xf>
    <xf numFmtId="164" fontId="5" fillId="13" borderId="6" xfId="0" applyFont="true" applyBorder="true" applyAlignment="true" applyProtection="false">
      <alignment horizontal="general" vertical="center" textRotation="0" wrapText="true" indent="0" shrinkToFit="false"/>
      <protection locked="true" hidden="false"/>
    </xf>
    <xf numFmtId="164" fontId="5" fillId="13" borderId="5"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left" vertical="center" textRotation="0" wrapText="true" indent="0" shrinkToFit="false"/>
      <protection locked="true" hidden="false"/>
    </xf>
    <xf numFmtId="164" fontId="4" fillId="0" borderId="66" xfId="0" applyFont="true" applyBorder="true" applyAlignment="true" applyProtection="false">
      <alignment horizontal="general" vertical="center" textRotation="0" wrapText="true" indent="0" shrinkToFit="false"/>
      <protection locked="true" hidden="false"/>
    </xf>
    <xf numFmtId="164" fontId="5" fillId="13" borderId="10" xfId="0" applyFont="true" applyBorder="true" applyAlignment="true" applyProtection="false">
      <alignment horizontal="general" vertical="center" textRotation="0" wrapText="true" indent="0" shrinkToFit="false"/>
      <protection locked="true" hidden="false"/>
    </xf>
    <xf numFmtId="164" fontId="5" fillId="13" borderId="11" xfId="0" applyFont="true" applyBorder="true" applyAlignment="true" applyProtection="false">
      <alignment horizontal="general" vertical="center" textRotation="0" wrapText="true" indent="0" shrinkToFit="false"/>
      <protection locked="true" hidden="false"/>
    </xf>
    <xf numFmtId="164" fontId="5" fillId="13" borderId="51" xfId="0" applyFont="true" applyBorder="true" applyAlignment="true" applyProtection="false">
      <alignment horizontal="general" vertical="center" textRotation="0" wrapText="true" indent="0" shrinkToFit="false"/>
      <protection locked="true" hidden="false"/>
    </xf>
    <xf numFmtId="164" fontId="5" fillId="13" borderId="14" xfId="0" applyFont="true" applyBorder="true" applyAlignment="true" applyProtection="false">
      <alignment horizontal="center" vertical="center" textRotation="0" wrapText="true" indent="0" shrinkToFit="false"/>
      <protection locked="true" hidden="false"/>
    </xf>
    <xf numFmtId="164" fontId="5" fillId="13" borderId="44" xfId="0" applyFont="true" applyBorder="true" applyAlignment="true" applyProtection="false">
      <alignment horizontal="left" vertical="center" textRotation="0" wrapText="true" indent="0" shrinkToFit="false"/>
      <protection locked="true" hidden="false"/>
    </xf>
    <xf numFmtId="164" fontId="5" fillId="13" borderId="45" xfId="0" applyFont="true" applyBorder="true" applyAlignment="true" applyProtection="false">
      <alignment horizontal="center" vertical="center" textRotation="0" wrapText="true" indent="0" shrinkToFit="false"/>
      <protection locked="true" hidden="false"/>
    </xf>
    <xf numFmtId="164" fontId="4" fillId="2" borderId="51" xfId="0" applyFont="true" applyBorder="true" applyAlignment="true" applyProtection="false">
      <alignment horizontal="center" vertical="bottom" textRotation="0" wrapText="false" indent="0" shrinkToFit="false"/>
      <protection locked="true" hidden="false"/>
    </xf>
    <xf numFmtId="164" fontId="4" fillId="2" borderId="15" xfId="0" applyFont="true" applyBorder="true" applyAlignment="true" applyProtection="false">
      <alignment horizontal="center" vertical="bottom" textRotation="0" wrapText="false" indent="0" shrinkToFit="false"/>
      <protection locked="true" hidden="false"/>
    </xf>
    <xf numFmtId="164" fontId="5" fillId="0" borderId="44" xfId="0" applyFont="true" applyBorder="true" applyAlignment="true" applyProtection="false">
      <alignment horizontal="left" vertical="center" textRotation="0" wrapText="true" indent="0" shrinkToFit="false"/>
      <protection locked="true" hidden="false"/>
    </xf>
    <xf numFmtId="164" fontId="5" fillId="0" borderId="45" xfId="0" applyFont="true" applyBorder="true" applyAlignment="true" applyProtection="false">
      <alignment horizontal="left" vertical="center" textRotation="0" wrapText="true" indent="0" shrinkToFit="false"/>
      <protection locked="true" hidden="false"/>
    </xf>
    <xf numFmtId="164" fontId="0" fillId="0" borderId="10" xfId="0" applyFont="false" applyBorder="true" applyAlignment="true" applyProtection="false">
      <alignment horizontal="left" vertical="center" textRotation="0" wrapText="true" indent="0" shrinkToFit="false"/>
      <protection locked="true" hidden="false"/>
    </xf>
    <xf numFmtId="164" fontId="0" fillId="0" borderId="11" xfId="0" applyFont="false" applyBorder="true" applyAlignment="true" applyProtection="false">
      <alignment horizontal="center" vertical="center" textRotation="0" wrapText="true" indent="0" shrinkToFit="false"/>
      <protection locked="true" hidden="false"/>
    </xf>
    <xf numFmtId="164" fontId="5" fillId="0" borderId="45"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4" fillId="2" borderId="67" xfId="0" applyFont="true" applyBorder="true" applyAlignment="true" applyProtection="false">
      <alignment horizontal="center" vertical="bottom" textRotation="0" wrapText="false" indent="0" shrinkToFit="false"/>
      <protection locked="true" hidden="false"/>
    </xf>
    <xf numFmtId="164" fontId="4" fillId="2" borderId="45" xfId="0" applyFont="true" applyBorder="true" applyAlignment="true" applyProtection="false">
      <alignment horizontal="center" vertical="bottom" textRotation="0" wrapText="false" indent="0" shrinkToFit="false"/>
      <protection locked="true" hidden="false"/>
    </xf>
    <xf numFmtId="164" fontId="5" fillId="0" borderId="44" xfId="0" applyFont="true" applyBorder="true" applyAlignment="true" applyProtection="false">
      <alignment horizontal="left" vertical="center" textRotation="0" wrapText="false" indent="0" shrinkToFit="false"/>
      <protection locked="true" hidden="false"/>
    </xf>
    <xf numFmtId="173" fontId="5" fillId="0" borderId="67" xfId="0" applyFont="true" applyBorder="true" applyAlignment="true" applyProtection="false">
      <alignment horizontal="center" vertical="center" textRotation="0" wrapText="false" indent="0" shrinkToFit="false"/>
      <protection locked="true" hidden="false"/>
    </xf>
    <xf numFmtId="164" fontId="5" fillId="0" borderId="68" xfId="0" applyFont="true" applyBorder="true" applyAlignment="true" applyProtection="false">
      <alignment horizontal="left" vertical="center" textRotation="0" wrapText="true" indent="0" shrinkToFit="false"/>
      <protection locked="true" hidden="false"/>
    </xf>
    <xf numFmtId="173" fontId="5" fillId="0" borderId="69" xfId="0" applyFont="true" applyBorder="true" applyAlignment="true" applyProtection="false">
      <alignment horizontal="center" vertical="center" textRotation="0" wrapText="true" indent="0" shrinkToFit="false"/>
      <protection locked="true" hidden="false"/>
    </xf>
    <xf numFmtId="164" fontId="5" fillId="0" borderId="70" xfId="0" applyFont="true" applyBorder="true" applyAlignment="true" applyProtection="false">
      <alignment horizontal="left" vertical="center" textRotation="0"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73" fontId="5" fillId="0" borderId="71" xfId="0" applyFont="true" applyBorder="true" applyAlignment="true" applyProtection="false">
      <alignment horizontal="center" vertical="center" textRotation="0" wrapText="true" indent="0" shrinkToFit="false"/>
      <protection locked="true" hidden="false"/>
    </xf>
    <xf numFmtId="164" fontId="0" fillId="0" borderId="45" xfId="0" applyFont="true" applyBorder="true" applyAlignment="true" applyProtection="false">
      <alignment horizontal="left" vertical="center" textRotation="0" wrapText="true" indent="0" shrinkToFit="false"/>
      <protection locked="true" hidden="false"/>
    </xf>
    <xf numFmtId="172" fontId="5" fillId="0" borderId="0" xfId="0" applyFont="true" applyBorder="true" applyAlignment="true" applyProtection="false">
      <alignment horizontal="center" vertical="top" textRotation="0" wrapText="true" indent="0" shrinkToFit="false"/>
      <protection locked="true" hidden="false"/>
    </xf>
    <xf numFmtId="164" fontId="4" fillId="2" borderId="46" xfId="0" applyFont="true" applyBorder="true" applyAlignment="true" applyProtection="false">
      <alignment horizontal="center" vertical="bottom" textRotation="0" wrapText="false" indent="0" shrinkToFit="false"/>
      <protection locked="true" hidden="false"/>
    </xf>
    <xf numFmtId="164" fontId="4" fillId="2" borderId="54" xfId="0" applyFont="true" applyBorder="true" applyAlignment="true" applyProtection="false">
      <alignment horizontal="center" vertical="bottom" textRotation="0" wrapText="false" indent="0" shrinkToFit="false"/>
      <protection locked="true" hidden="false"/>
    </xf>
    <xf numFmtId="164" fontId="4" fillId="2" borderId="72" xfId="0" applyFont="true" applyBorder="true" applyAlignment="true" applyProtection="false">
      <alignment horizontal="center" vertical="bottom" textRotation="0" wrapText="false" indent="0" shrinkToFit="false"/>
      <protection locked="true" hidden="false"/>
    </xf>
    <xf numFmtId="164" fontId="4" fillId="2" borderId="56" xfId="0" applyFont="true" applyBorder="true" applyAlignment="true" applyProtection="false">
      <alignment horizontal="center" vertical="bottom" textRotation="0" wrapText="false" indent="0" shrinkToFit="false"/>
      <protection locked="true" hidden="false"/>
    </xf>
    <xf numFmtId="164" fontId="5" fillId="0" borderId="44" xfId="0" applyFont="true" applyBorder="true" applyAlignment="true" applyProtection="false">
      <alignment horizontal="general" vertical="center" textRotation="0" wrapText="false" indent="0" shrinkToFit="false"/>
      <protection locked="true" hidden="false"/>
    </xf>
    <xf numFmtId="164" fontId="5" fillId="0" borderId="67" xfId="0" applyFont="true" applyBorder="true" applyAlignment="true" applyProtection="false">
      <alignment horizontal="center" vertical="center" textRotation="0" wrapText="false" indent="0" shrinkToFit="false"/>
      <protection locked="true" hidden="false"/>
    </xf>
    <xf numFmtId="164" fontId="5" fillId="0" borderId="67" xfId="0" applyFont="true" applyBorder="true" applyAlignment="true" applyProtection="false">
      <alignment horizontal="center" vertical="center" textRotation="0" wrapText="true" indent="0" shrinkToFit="false"/>
      <protection locked="true" hidden="false"/>
    </xf>
    <xf numFmtId="164" fontId="5" fillId="0" borderId="45" xfId="0" applyFont="true" applyBorder="true" applyAlignment="true" applyProtection="false">
      <alignment horizontal="general" vertical="center" textRotation="0" wrapText="true" indent="0" shrinkToFit="false"/>
      <protection locked="true" hidden="false"/>
    </xf>
    <xf numFmtId="174" fontId="5" fillId="0" borderId="67" xfId="0" applyFont="true" applyBorder="true" applyAlignment="true" applyProtection="false">
      <alignment horizontal="center" vertical="center" textRotation="0" wrapText="true" indent="0" shrinkToFit="false"/>
      <protection locked="true" hidden="false"/>
    </xf>
    <xf numFmtId="164" fontId="5" fillId="0" borderId="6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74" fontId="0" fillId="0" borderId="61" xfId="0" applyFont="false" applyBorder="true" applyAlignment="true" applyProtection="false">
      <alignment horizontal="center" vertical="center" textRotation="0" wrapText="true" indent="0" shrinkToFit="false"/>
      <protection locked="true" hidden="false"/>
    </xf>
    <xf numFmtId="164" fontId="5" fillId="0" borderId="44" xfId="0" applyFont="true" applyBorder="true" applyAlignment="true" applyProtection="false">
      <alignment horizontal="center" vertical="center" textRotation="0" wrapText="true" indent="0" shrinkToFit="false"/>
      <protection locked="true" hidden="false"/>
    </xf>
    <xf numFmtId="172" fontId="5" fillId="0" borderId="16" xfId="0" applyFont="true" applyBorder="true" applyAlignment="true" applyProtection="false">
      <alignment horizontal="center" vertical="bottom"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72" fontId="0" fillId="0" borderId="16" xfId="0" applyFont="false" applyBorder="true" applyAlignment="true" applyProtection="false">
      <alignment horizontal="center" vertical="bottom"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74" fontId="0" fillId="0" borderId="16" xfId="0" applyFont="fals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true" indent="0" shrinkToFit="false"/>
      <protection locked="true" hidden="false"/>
    </xf>
    <xf numFmtId="174" fontId="0" fillId="0" borderId="71"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CD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150840</xdr:colOff>
      <xdr:row>38</xdr:row>
      <xdr:rowOff>55800</xdr:rowOff>
    </xdr:to>
    <xdr:sp>
      <xdr:nvSpPr>
        <xdr:cNvPr id="0" name="CustomShape 1" hidden="1"/>
        <xdr:cNvSpPr/>
      </xdr:nvSpPr>
      <xdr:spPr>
        <a:xfrm>
          <a:off x="0" y="0"/>
          <a:ext cx="10087200" cy="939024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150840</xdr:colOff>
      <xdr:row>38</xdr:row>
      <xdr:rowOff>55800</xdr:rowOff>
    </xdr:to>
    <xdr:sp>
      <xdr:nvSpPr>
        <xdr:cNvPr id="1" name="CustomShape 1" hidden="1"/>
        <xdr:cNvSpPr/>
      </xdr:nvSpPr>
      <xdr:spPr>
        <a:xfrm>
          <a:off x="0" y="0"/>
          <a:ext cx="10087200" cy="939024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151200</xdr:colOff>
      <xdr:row>39</xdr:row>
      <xdr:rowOff>81360</xdr:rowOff>
    </xdr:to>
    <xdr:sp>
      <xdr:nvSpPr>
        <xdr:cNvPr id="2" name="CustomShape 1" hidden="1"/>
        <xdr:cNvSpPr/>
      </xdr:nvSpPr>
      <xdr:spPr>
        <a:xfrm>
          <a:off x="0" y="0"/>
          <a:ext cx="10087560" cy="958068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151200</xdr:colOff>
      <xdr:row>39</xdr:row>
      <xdr:rowOff>81360</xdr:rowOff>
    </xdr:to>
    <xdr:sp>
      <xdr:nvSpPr>
        <xdr:cNvPr id="3" name="CustomShape 1" hidden="1"/>
        <xdr:cNvSpPr/>
      </xdr:nvSpPr>
      <xdr:spPr>
        <a:xfrm>
          <a:off x="0" y="0"/>
          <a:ext cx="10087560" cy="958068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161280</xdr:colOff>
      <xdr:row>40</xdr:row>
      <xdr:rowOff>132480</xdr:rowOff>
    </xdr:to>
    <xdr:sp>
      <xdr:nvSpPr>
        <xdr:cNvPr id="4" name="CustomShape 1" hidden="1"/>
        <xdr:cNvSpPr/>
      </xdr:nvSpPr>
      <xdr:spPr>
        <a:xfrm>
          <a:off x="0" y="0"/>
          <a:ext cx="10097640" cy="9797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161280</xdr:colOff>
      <xdr:row>40</xdr:row>
      <xdr:rowOff>132480</xdr:rowOff>
    </xdr:to>
    <xdr:sp>
      <xdr:nvSpPr>
        <xdr:cNvPr id="5" name="CustomShape 1" hidden="1"/>
        <xdr:cNvSpPr/>
      </xdr:nvSpPr>
      <xdr:spPr>
        <a:xfrm>
          <a:off x="0" y="0"/>
          <a:ext cx="10097640" cy="9797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42</xdr:row>
      <xdr:rowOff>9000</xdr:rowOff>
    </xdr:to>
    <xdr:sp>
      <xdr:nvSpPr>
        <xdr:cNvPr id="6" name="CustomShape 1" hidden="1"/>
        <xdr:cNvSpPr/>
      </xdr:nvSpPr>
      <xdr:spPr>
        <a:xfrm>
          <a:off x="0" y="0"/>
          <a:ext cx="10088280" cy="100036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150840</xdr:colOff>
      <xdr:row>38</xdr:row>
      <xdr:rowOff>55800</xdr:rowOff>
    </xdr:to>
    <xdr:sp>
      <xdr:nvSpPr>
        <xdr:cNvPr id="7" name="CustomShape 1" hidden="1"/>
        <xdr:cNvSpPr/>
      </xdr:nvSpPr>
      <xdr:spPr>
        <a:xfrm>
          <a:off x="0" y="0"/>
          <a:ext cx="10087200" cy="939024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150840</xdr:colOff>
      <xdr:row>38</xdr:row>
      <xdr:rowOff>55800</xdr:rowOff>
    </xdr:to>
    <xdr:sp>
      <xdr:nvSpPr>
        <xdr:cNvPr id="8" name="CustomShape 1" hidden="1"/>
        <xdr:cNvSpPr/>
      </xdr:nvSpPr>
      <xdr:spPr>
        <a:xfrm>
          <a:off x="0" y="0"/>
          <a:ext cx="10087200" cy="939024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151200</xdr:colOff>
      <xdr:row>39</xdr:row>
      <xdr:rowOff>81360</xdr:rowOff>
    </xdr:to>
    <xdr:sp>
      <xdr:nvSpPr>
        <xdr:cNvPr id="9" name="CustomShape 1" hidden="1"/>
        <xdr:cNvSpPr/>
      </xdr:nvSpPr>
      <xdr:spPr>
        <a:xfrm>
          <a:off x="0" y="0"/>
          <a:ext cx="10087560" cy="958068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151200</xdr:colOff>
      <xdr:row>39</xdr:row>
      <xdr:rowOff>81360</xdr:rowOff>
    </xdr:to>
    <xdr:sp>
      <xdr:nvSpPr>
        <xdr:cNvPr id="10" name="CustomShape 1" hidden="1"/>
        <xdr:cNvSpPr/>
      </xdr:nvSpPr>
      <xdr:spPr>
        <a:xfrm>
          <a:off x="0" y="0"/>
          <a:ext cx="10087560" cy="958068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161280</xdr:colOff>
      <xdr:row>40</xdr:row>
      <xdr:rowOff>132480</xdr:rowOff>
    </xdr:to>
    <xdr:sp>
      <xdr:nvSpPr>
        <xdr:cNvPr id="11" name="CustomShape 1" hidden="1"/>
        <xdr:cNvSpPr/>
      </xdr:nvSpPr>
      <xdr:spPr>
        <a:xfrm>
          <a:off x="0" y="0"/>
          <a:ext cx="10097640" cy="9797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161280</xdr:colOff>
      <xdr:row>40</xdr:row>
      <xdr:rowOff>132480</xdr:rowOff>
    </xdr:to>
    <xdr:sp>
      <xdr:nvSpPr>
        <xdr:cNvPr id="12" name="CustomShape 1" hidden="1"/>
        <xdr:cNvSpPr/>
      </xdr:nvSpPr>
      <xdr:spPr>
        <a:xfrm>
          <a:off x="0" y="0"/>
          <a:ext cx="10097640" cy="9797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151920</xdr:colOff>
      <xdr:row>42</xdr:row>
      <xdr:rowOff>9000</xdr:rowOff>
    </xdr:to>
    <xdr:sp>
      <xdr:nvSpPr>
        <xdr:cNvPr id="13" name="CustomShape 1" hidden="1"/>
        <xdr:cNvSpPr/>
      </xdr:nvSpPr>
      <xdr:spPr>
        <a:xfrm>
          <a:off x="0" y="0"/>
          <a:ext cx="10088280" cy="100036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AB47"/>
  <sheetViews>
    <sheetView showFormulas="false" showGridLines="true" showRowColHeaders="true" showZeros="true" rightToLeft="false" tabSelected="true" showOutlineSymbols="true" defaultGridColor="true" view="normal" topLeftCell="A11" colorId="64" zoomScale="90" zoomScaleNormal="90" zoomScalePageLayoutView="100" workbookViewId="0">
      <selection pane="topLeft" activeCell="Q16" activeCellId="0" sqref="Q16"/>
    </sheetView>
  </sheetViews>
  <sheetFormatPr defaultRowHeight="13" zeroHeight="false" outlineLevelRow="0" outlineLevelCol="0"/>
  <cols>
    <col collapsed="false" customWidth="true" hidden="false" outlineLevel="0" max="1" min="1" style="0" width="12.33"/>
    <col collapsed="false" customWidth="true" hidden="false" outlineLevel="0" max="2" min="2" style="0" width="15.83"/>
    <col collapsed="false" customWidth="true" hidden="false" outlineLevel="0" max="3" min="3" style="0" width="27.33"/>
    <col collapsed="false" customWidth="true" hidden="false" outlineLevel="0" max="4" min="4" style="0" width="17.51"/>
    <col collapsed="false" customWidth="true" hidden="false" outlineLevel="0" max="5" min="5" style="0" width="16.33"/>
    <col collapsed="false" customWidth="false" hidden="false" outlineLevel="0" max="6" min="6" style="0" width="11.5"/>
    <col collapsed="false" customWidth="true" hidden="false" outlineLevel="0" max="12" min="7" style="1" width="14.16"/>
    <col collapsed="false" customWidth="true" hidden="false" outlineLevel="0" max="13" min="13" style="1" width="8.51"/>
    <col collapsed="false" customWidth="true" hidden="false" outlineLevel="0" max="14" min="14" style="1" width="9.33"/>
    <col collapsed="false" customWidth="true" hidden="false" outlineLevel="0" max="16" min="15" style="1" width="7.16"/>
    <col collapsed="false" customWidth="true" hidden="false" outlineLevel="0" max="17" min="17" style="1" width="9.33"/>
    <col collapsed="false" customWidth="true" hidden="false" outlineLevel="0" max="22" min="18" style="0" width="36.84"/>
    <col collapsed="false" customWidth="true" hidden="false" outlineLevel="0" max="23" min="23" style="0" width="25.33"/>
    <col collapsed="false" customWidth="true" hidden="false" outlineLevel="0" max="24" min="24" style="0" width="19.33"/>
    <col collapsed="false" customWidth="true" hidden="false" outlineLevel="0" max="25" min="25" style="0" width="19.99"/>
    <col collapsed="false" customWidth="true" hidden="false" outlineLevel="0" max="26" min="26" style="0" width="19.5"/>
    <col collapsed="false" customWidth="true" hidden="false" outlineLevel="0" max="27" min="27" style="0" width="16.16"/>
    <col collapsed="false" customWidth="true" hidden="false" outlineLevel="0" max="28" min="28" style="0" width="17.51"/>
    <col collapsed="false" customWidth="true" hidden="false" outlineLevel="0" max="1025" min="29" style="0" width="8.83"/>
  </cols>
  <sheetData>
    <row r="2" customFormat="false" ht="14" hidden="false" customHeight="false" outlineLevel="0" collapsed="false">
      <c r="A2" s="2" t="s">
        <v>0</v>
      </c>
      <c r="B2" s="3"/>
      <c r="C2" s="4"/>
      <c r="D2" s="5"/>
      <c r="E2" s="6" t="s">
        <v>1</v>
      </c>
      <c r="G2" s="7"/>
      <c r="H2" s="7"/>
      <c r="I2" s="7"/>
      <c r="J2" s="7"/>
      <c r="K2" s="7"/>
      <c r="L2" s="7"/>
      <c r="M2" s="7"/>
      <c r="N2" s="7"/>
      <c r="O2" s="7"/>
      <c r="P2" s="7"/>
      <c r="Q2" s="7"/>
    </row>
    <row r="3" customFormat="false" ht="14" hidden="false" customHeight="false" outlineLevel="0" collapsed="false">
      <c r="A3" s="8" t="s">
        <v>2</v>
      </c>
      <c r="B3" s="9" t="s">
        <v>3</v>
      </c>
      <c r="C3" s="4"/>
      <c r="D3" s="10"/>
      <c r="E3" s="11" t="s">
        <v>4</v>
      </c>
      <c r="G3" s="7"/>
      <c r="H3" s="7"/>
      <c r="I3" s="7"/>
      <c r="J3" s="7"/>
      <c r="K3" s="7"/>
      <c r="L3" s="7"/>
      <c r="M3" s="7"/>
      <c r="N3" s="7"/>
      <c r="O3" s="7"/>
      <c r="P3" s="7"/>
      <c r="Q3" s="7"/>
    </row>
    <row r="4" customFormat="false" ht="14" hidden="false" customHeight="false" outlineLevel="0" collapsed="false">
      <c r="A4" s="8" t="s">
        <v>5</v>
      </c>
      <c r="B4" s="12" t="s">
        <v>6</v>
      </c>
      <c r="C4" s="4"/>
      <c r="D4" s="13"/>
      <c r="E4" s="11" t="s">
        <v>7</v>
      </c>
      <c r="F4" s="14"/>
      <c r="G4" s="7"/>
      <c r="H4" s="7"/>
      <c r="I4" s="7"/>
      <c r="J4" s="7"/>
      <c r="K4" s="7"/>
      <c r="L4" s="7"/>
      <c r="M4" s="7"/>
      <c r="N4" s="7"/>
      <c r="O4" s="7"/>
      <c r="P4" s="7"/>
      <c r="Q4" s="7"/>
    </row>
    <row r="5" customFormat="false" ht="28" hidden="false" customHeight="false" outlineLevel="0" collapsed="false">
      <c r="A5" s="15" t="s">
        <v>8</v>
      </c>
      <c r="B5" s="16" t="s">
        <v>9</v>
      </c>
      <c r="C5" s="4"/>
      <c r="D5" s="17"/>
      <c r="E5" s="11" t="s">
        <v>10</v>
      </c>
      <c r="G5" s="7"/>
      <c r="H5" s="7"/>
      <c r="I5" s="7"/>
      <c r="J5" s="7"/>
      <c r="K5" s="7"/>
      <c r="L5" s="7"/>
      <c r="M5" s="7"/>
      <c r="N5" s="7"/>
      <c r="O5" s="7"/>
      <c r="P5" s="7"/>
      <c r="Q5" s="7"/>
    </row>
    <row r="6" customFormat="false" ht="14" hidden="false" customHeight="false" outlineLevel="0" collapsed="false">
      <c r="A6" s="18"/>
      <c r="D6" s="19"/>
      <c r="E6" s="20" t="s">
        <v>11</v>
      </c>
      <c r="G6" s="7"/>
      <c r="H6" s="7"/>
      <c r="I6" s="7"/>
      <c r="J6" s="7"/>
      <c r="K6" s="7"/>
      <c r="L6" s="7"/>
      <c r="M6" s="7"/>
      <c r="N6" s="7"/>
      <c r="O6" s="7"/>
      <c r="P6" s="7"/>
      <c r="Q6" s="7"/>
    </row>
    <row r="8" customFormat="false" ht="21" hidden="false" customHeight="true" outlineLevel="0" collapsed="false">
      <c r="A8" s="21" t="s">
        <v>12</v>
      </c>
      <c r="B8" s="21" t="s">
        <v>13</v>
      </c>
      <c r="C8" s="21" t="s">
        <v>14</v>
      </c>
      <c r="D8" s="22" t="s">
        <v>15</v>
      </c>
      <c r="E8" s="21" t="s">
        <v>16</v>
      </c>
      <c r="F8" s="21" t="s">
        <v>17</v>
      </c>
      <c r="G8" s="23" t="s">
        <v>18</v>
      </c>
      <c r="H8" s="23" t="s">
        <v>19</v>
      </c>
      <c r="I8" s="23" t="s">
        <v>20</v>
      </c>
      <c r="J8" s="23" t="s">
        <v>21</v>
      </c>
      <c r="K8" s="23" t="s">
        <v>22</v>
      </c>
      <c r="L8" s="23" t="s">
        <v>23</v>
      </c>
      <c r="M8" s="23" t="s">
        <v>24</v>
      </c>
      <c r="N8" s="23" t="s">
        <v>25</v>
      </c>
      <c r="O8" s="23" t="s">
        <v>26</v>
      </c>
      <c r="P8" s="23" t="s">
        <v>27</v>
      </c>
      <c r="Q8" s="23" t="s">
        <v>28</v>
      </c>
      <c r="R8" s="24" t="s">
        <v>29</v>
      </c>
      <c r="S8" s="24" t="s">
        <v>30</v>
      </c>
      <c r="T8" s="24" t="s">
        <v>31</v>
      </c>
      <c r="U8" s="24" t="s">
        <v>32</v>
      </c>
      <c r="V8" s="24" t="s">
        <v>33</v>
      </c>
      <c r="W8" s="24" t="s">
        <v>34</v>
      </c>
      <c r="X8" s="24" t="s">
        <v>35</v>
      </c>
      <c r="Y8" s="24" t="s">
        <v>36</v>
      </c>
      <c r="Z8" s="24" t="s">
        <v>37</v>
      </c>
      <c r="AA8" s="24" t="s">
        <v>38</v>
      </c>
      <c r="AB8" s="24" t="s">
        <v>39</v>
      </c>
    </row>
    <row r="9" customFormat="false" ht="42" hidden="false" customHeight="false" outlineLevel="0" collapsed="false">
      <c r="A9" s="25" t="s">
        <v>40</v>
      </c>
      <c r="B9" s="25" t="s">
        <v>41</v>
      </c>
      <c r="C9" s="26" t="s">
        <v>42</v>
      </c>
      <c r="D9" s="27"/>
      <c r="E9" s="28" t="s">
        <v>43</v>
      </c>
      <c r="F9" s="29" t="n">
        <v>1</v>
      </c>
      <c r="G9" s="30" t="n">
        <f aca="false">(1.43+1.43+1.42)/3</f>
        <v>1.42666666666667</v>
      </c>
      <c r="H9" s="30"/>
      <c r="I9" s="30" t="n">
        <f aca="false">(1.04+1.04+1.13)/3</f>
        <v>1.07</v>
      </c>
      <c r="J9" s="30" t="n">
        <f aca="false">(1.13+1.13+0.96)/3</f>
        <v>1.07333333333333</v>
      </c>
      <c r="K9" s="31" t="n">
        <f aca="false">(0.96+0.96+0.96)/3</f>
        <v>0.96</v>
      </c>
      <c r="L9" s="31" t="n">
        <f aca="false">(0.83+0.83+1.08)/3</f>
        <v>0.913333333333333</v>
      </c>
      <c r="M9" s="30" t="n">
        <f aca="false">(1.07+1.07+1.13)/3</f>
        <v>1.09</v>
      </c>
      <c r="N9" s="30" t="n">
        <v>1.19</v>
      </c>
      <c r="O9" s="30" t="s">
        <v>44</v>
      </c>
      <c r="P9" s="30" t="n">
        <v>1.17</v>
      </c>
      <c r="Q9" s="30" t="n">
        <v>1.2</v>
      </c>
      <c r="R9" s="32"/>
      <c r="S9" s="32"/>
      <c r="T9" s="32"/>
      <c r="U9" s="32"/>
      <c r="V9" s="32"/>
      <c r="W9" s="32"/>
      <c r="X9" s="32"/>
      <c r="Y9" s="32"/>
      <c r="Z9" s="33" t="s">
        <v>45</v>
      </c>
      <c r="AA9" s="33"/>
      <c r="AB9" s="33"/>
    </row>
    <row r="10" customFormat="false" ht="42" hidden="false" customHeight="false" outlineLevel="0" collapsed="false">
      <c r="A10" s="25" t="s">
        <v>46</v>
      </c>
      <c r="B10" s="25" t="s">
        <v>47</v>
      </c>
      <c r="C10" s="34" t="s">
        <v>48</v>
      </c>
      <c r="D10" s="27"/>
      <c r="E10" s="28" t="s">
        <v>43</v>
      </c>
      <c r="F10" s="29" t="n">
        <v>1</v>
      </c>
      <c r="G10" s="30" t="n">
        <f aca="false">(1.45+1.42+1.46)/3</f>
        <v>1.44333333333333</v>
      </c>
      <c r="H10" s="30" t="n">
        <f aca="false">(1.06+1.05+1.09)/3</f>
        <v>1.06666666666667</v>
      </c>
      <c r="I10" s="30" t="n">
        <f aca="false">(1.02+1.04+1.1)/3</f>
        <v>1.05333333333333</v>
      </c>
      <c r="J10" s="30" t="n">
        <f aca="false">(1.09+0.96+0.98)/3</f>
        <v>1.01</v>
      </c>
      <c r="K10" s="31" t="n">
        <f aca="false">(0.97+0.99+0.98)/3</f>
        <v>0.98</v>
      </c>
      <c r="L10" s="35" t="n">
        <f aca="false">(0.85+0.87+0.87)/3</f>
        <v>0.863333333333333</v>
      </c>
      <c r="M10" s="31" t="n">
        <f aca="false">(1.09+0.817+0.905)/3</f>
        <v>0.937333333333334</v>
      </c>
      <c r="N10" s="30" t="n">
        <v>1.18</v>
      </c>
      <c r="O10" s="30" t="s">
        <v>44</v>
      </c>
      <c r="P10" s="30" t="n">
        <v>1.06</v>
      </c>
      <c r="Q10" s="30" t="n">
        <v>1.06</v>
      </c>
      <c r="R10" s="32"/>
      <c r="S10" s="32"/>
      <c r="T10" s="32"/>
      <c r="U10" s="32"/>
      <c r="V10" s="32"/>
      <c r="W10" s="32"/>
      <c r="X10" s="32"/>
      <c r="Y10" s="32"/>
      <c r="Z10" s="33" t="s">
        <v>45</v>
      </c>
      <c r="AA10" s="33"/>
      <c r="AB10" s="33"/>
    </row>
    <row r="11" customFormat="false" ht="28" hidden="false" customHeight="false" outlineLevel="0" collapsed="false">
      <c r="A11" s="25" t="s">
        <v>49</v>
      </c>
      <c r="B11" s="25"/>
      <c r="C11" s="34" t="s">
        <v>50</v>
      </c>
      <c r="D11" s="27"/>
      <c r="E11" s="28" t="s">
        <v>51</v>
      </c>
      <c r="F11" s="29" t="n">
        <v>0.99</v>
      </c>
      <c r="G11" s="36"/>
      <c r="H11" s="36"/>
      <c r="I11" s="36"/>
      <c r="J11" s="36"/>
      <c r="K11" s="36"/>
      <c r="L11" s="36"/>
      <c r="M11" s="36"/>
      <c r="N11" s="36"/>
      <c r="O11" s="36"/>
      <c r="P11" s="36"/>
      <c r="Q11" s="36"/>
      <c r="R11" s="33"/>
      <c r="S11" s="33"/>
      <c r="T11" s="33"/>
      <c r="U11" s="33"/>
      <c r="V11" s="33"/>
      <c r="W11" s="33"/>
      <c r="X11" s="33"/>
      <c r="Y11" s="33"/>
      <c r="Z11" s="33"/>
      <c r="AA11" s="33"/>
      <c r="AB11" s="33"/>
    </row>
    <row r="12" customFormat="false" ht="28" hidden="false" customHeight="false" outlineLevel="0" collapsed="false">
      <c r="A12" s="25" t="s">
        <v>52</v>
      </c>
      <c r="B12" s="25"/>
      <c r="C12" s="34" t="s">
        <v>53</v>
      </c>
      <c r="D12" s="27"/>
      <c r="E12" s="28" t="s">
        <v>54</v>
      </c>
      <c r="F12" s="37" t="n">
        <v>2</v>
      </c>
      <c r="G12" s="38" t="n">
        <v>0</v>
      </c>
      <c r="H12" s="38" t="n">
        <v>0</v>
      </c>
      <c r="I12" s="38" t="n">
        <v>0</v>
      </c>
      <c r="J12" s="38" t="n">
        <v>0</v>
      </c>
      <c r="K12" s="38" t="n">
        <v>0</v>
      </c>
      <c r="L12" s="38" t="n">
        <v>0</v>
      </c>
      <c r="M12" s="38" t="n">
        <v>0</v>
      </c>
      <c r="N12" s="38" t="n">
        <v>0</v>
      </c>
      <c r="O12" s="38" t="n">
        <v>1</v>
      </c>
      <c r="P12" s="38" t="n">
        <v>0</v>
      </c>
      <c r="Q12" s="38" t="n">
        <v>0</v>
      </c>
      <c r="R12" s="33"/>
      <c r="S12" s="33"/>
      <c r="T12" s="33"/>
      <c r="U12" s="33"/>
      <c r="V12" s="33"/>
      <c r="W12" s="33"/>
      <c r="X12" s="33"/>
      <c r="Y12" s="33"/>
      <c r="Z12" s="33" t="s">
        <v>55</v>
      </c>
      <c r="AA12" s="33"/>
      <c r="AB12" s="33"/>
    </row>
    <row r="13" customFormat="false" ht="42" hidden="false" customHeight="false" outlineLevel="0" collapsed="false">
      <c r="A13" s="25" t="s">
        <v>56</v>
      </c>
      <c r="B13" s="25"/>
      <c r="C13" s="34" t="s">
        <v>57</v>
      </c>
      <c r="D13" s="27"/>
      <c r="E13" s="39"/>
      <c r="F13" s="37" t="n">
        <v>0</v>
      </c>
      <c r="G13" s="40" t="n">
        <v>1</v>
      </c>
      <c r="H13" s="38" t="n">
        <v>0</v>
      </c>
      <c r="I13" s="38" t="n">
        <v>0</v>
      </c>
      <c r="J13" s="38" t="n">
        <v>0</v>
      </c>
      <c r="K13" s="38" t="n">
        <v>0</v>
      </c>
      <c r="L13" s="38" t="n">
        <v>0</v>
      </c>
      <c r="M13" s="38" t="n">
        <v>0</v>
      </c>
      <c r="N13" s="38" t="n">
        <v>0</v>
      </c>
      <c r="O13" s="38" t="n">
        <v>0</v>
      </c>
      <c r="P13" s="38" t="n">
        <v>0</v>
      </c>
      <c r="Q13" s="38" t="n">
        <v>0</v>
      </c>
      <c r="R13" s="41" t="s">
        <v>58</v>
      </c>
      <c r="S13" s="41"/>
      <c r="T13" s="41"/>
      <c r="U13" s="41"/>
      <c r="V13" s="41"/>
      <c r="W13" s="41"/>
      <c r="X13" s="41"/>
      <c r="Y13" s="41"/>
      <c r="Z13" s="41"/>
      <c r="AA13" s="41"/>
      <c r="AB13" s="41"/>
    </row>
    <row r="14" customFormat="false" ht="42" hidden="false" customHeight="false" outlineLevel="0" collapsed="false">
      <c r="A14" s="25" t="s">
        <v>59</v>
      </c>
      <c r="B14" s="42"/>
      <c r="C14" s="34" t="s">
        <v>60</v>
      </c>
      <c r="D14" s="43"/>
      <c r="E14" s="44" t="s">
        <v>61</v>
      </c>
      <c r="F14" s="37" t="n">
        <v>0</v>
      </c>
      <c r="G14" s="38" t="n">
        <v>0</v>
      </c>
      <c r="H14" s="38" t="n">
        <v>0</v>
      </c>
      <c r="I14" s="38" t="n">
        <v>0</v>
      </c>
      <c r="J14" s="38" t="n">
        <v>0</v>
      </c>
      <c r="K14" s="38" t="n">
        <v>0</v>
      </c>
      <c r="L14" s="38" t="n">
        <v>0</v>
      </c>
      <c r="M14" s="38" t="n">
        <v>0</v>
      </c>
      <c r="N14" s="38" t="n">
        <v>0</v>
      </c>
      <c r="O14" s="38" t="n">
        <v>0</v>
      </c>
      <c r="P14" s="38" t="n">
        <v>0</v>
      </c>
      <c r="Q14" s="38" t="n">
        <v>0</v>
      </c>
      <c r="R14" s="41"/>
      <c r="S14" s="41"/>
      <c r="T14" s="41"/>
      <c r="U14" s="41"/>
      <c r="V14" s="41"/>
      <c r="W14" s="41"/>
      <c r="X14" s="41"/>
      <c r="Y14" s="41"/>
      <c r="Z14" s="41"/>
      <c r="AA14" s="41"/>
      <c r="AB14" s="41"/>
    </row>
    <row r="15" customFormat="false" ht="48.75" hidden="false" customHeight="true" outlineLevel="0" collapsed="false">
      <c r="A15" s="25" t="s">
        <v>62</v>
      </c>
      <c r="B15" s="45"/>
      <c r="C15" s="34" t="s">
        <v>63</v>
      </c>
      <c r="D15" s="46"/>
      <c r="E15" s="28" t="s">
        <v>61</v>
      </c>
      <c r="F15" s="29" t="n">
        <v>0.93</v>
      </c>
      <c r="G15" s="31" t="n">
        <v>0.9</v>
      </c>
      <c r="H15" s="35" t="n">
        <v>0.86</v>
      </c>
      <c r="I15" s="35" t="n">
        <v>0.83</v>
      </c>
      <c r="J15" s="35" t="n">
        <v>0.87</v>
      </c>
      <c r="K15" s="35" t="n">
        <v>0.8</v>
      </c>
      <c r="L15" s="30" t="n">
        <v>0.95</v>
      </c>
      <c r="M15" s="30" t="n">
        <f aca="false">15.76 / 16</f>
        <v>0.985</v>
      </c>
      <c r="N15" s="30" t="n">
        <v>0.99</v>
      </c>
      <c r="O15" s="30" t="n">
        <f aca="false">14.7 / 16</f>
        <v>0.91875</v>
      </c>
      <c r="P15" s="30" t="n">
        <v>1</v>
      </c>
      <c r="Q15" s="30" t="n">
        <f aca="false">13.8 / 14.5</f>
        <v>0.951724137931035</v>
      </c>
      <c r="R15" s="33"/>
      <c r="S15" s="33"/>
      <c r="T15" s="33"/>
      <c r="U15" s="33"/>
      <c r="V15" s="33"/>
      <c r="W15" s="33"/>
      <c r="X15" s="33"/>
      <c r="Y15" s="33"/>
      <c r="Z15" s="33"/>
      <c r="AA15" s="33"/>
      <c r="AB15" s="33"/>
    </row>
    <row r="16" customFormat="false" ht="13" hidden="false" customHeight="false" outlineLevel="0" collapsed="false">
      <c r="A16" s="47"/>
      <c r="B16" s="48"/>
      <c r="C16" s="49"/>
      <c r="D16" s="50"/>
      <c r="E16" s="28"/>
      <c r="F16" s="29"/>
      <c r="G16" s="51"/>
      <c r="H16" s="51"/>
      <c r="I16" s="51"/>
      <c r="J16" s="51"/>
      <c r="K16" s="51"/>
      <c r="L16" s="52"/>
      <c r="M16" s="52"/>
      <c r="N16" s="52"/>
      <c r="O16" s="52"/>
      <c r="P16" s="52"/>
      <c r="Q16" s="52"/>
      <c r="R16" s="41"/>
      <c r="S16" s="41"/>
      <c r="T16" s="41"/>
      <c r="U16" s="41"/>
      <c r="V16" s="41"/>
      <c r="W16" s="41"/>
      <c r="X16" s="41"/>
      <c r="Y16" s="41"/>
      <c r="Z16" s="41"/>
      <c r="AA16" s="41"/>
      <c r="AB16" s="41"/>
    </row>
    <row r="17" customFormat="false" ht="42" hidden="false" customHeight="false" outlineLevel="0" collapsed="false">
      <c r="A17" s="25" t="s">
        <v>64</v>
      </c>
      <c r="B17" s="45" t="s">
        <v>65</v>
      </c>
      <c r="C17" s="53" t="s">
        <v>66</v>
      </c>
      <c r="D17" s="54"/>
      <c r="E17" s="55" t="s">
        <v>9</v>
      </c>
      <c r="F17" s="29" t="n">
        <v>1</v>
      </c>
      <c r="G17" s="56" t="n">
        <f aca="false">(2.02+2.02+2.04)/3</f>
        <v>2.02666666666667</v>
      </c>
      <c r="H17" s="56"/>
      <c r="I17" s="56" t="n">
        <f aca="false">(1.4+1.4+1.4)/3</f>
        <v>1.4</v>
      </c>
      <c r="J17" s="56" t="n">
        <f aca="false">(1.4+1.58+1.58)/3</f>
        <v>1.52</v>
      </c>
      <c r="K17" s="56" t="n">
        <f aca="false">(1.58+1.58+1.58)/3</f>
        <v>1.58</v>
      </c>
      <c r="L17" s="57" t="n">
        <f aca="false">(1.55+1.55+1.55)/3</f>
        <v>1.55</v>
      </c>
      <c r="M17" s="57" t="n">
        <v>1.5</v>
      </c>
      <c r="N17" s="57" t="n">
        <v>1.55</v>
      </c>
      <c r="O17" s="57" t="n">
        <v>1.55</v>
      </c>
      <c r="P17" s="57" t="n">
        <v>1.26</v>
      </c>
      <c r="Q17" s="57" t="n">
        <v>1</v>
      </c>
      <c r="R17" s="41"/>
      <c r="S17" s="41"/>
      <c r="T17" s="41"/>
      <c r="U17" s="41"/>
      <c r="V17" s="41"/>
      <c r="W17" s="41"/>
      <c r="X17" s="41"/>
      <c r="Y17" s="41"/>
      <c r="Z17" s="33" t="s">
        <v>45</v>
      </c>
      <c r="AA17" s="33"/>
      <c r="AB17" s="33"/>
    </row>
    <row r="18" customFormat="false" ht="84" hidden="false" customHeight="false" outlineLevel="0" collapsed="false">
      <c r="A18" s="25" t="s">
        <v>67</v>
      </c>
      <c r="B18" s="45" t="s">
        <v>68</v>
      </c>
      <c r="C18" s="58" t="s">
        <v>69</v>
      </c>
      <c r="D18" s="59"/>
      <c r="E18" s="55" t="s">
        <v>9</v>
      </c>
      <c r="F18" s="29" t="n">
        <v>1</v>
      </c>
      <c r="G18" s="60" t="n">
        <f aca="false">(1+1+1)/3</f>
        <v>1</v>
      </c>
      <c r="H18" s="60" t="n">
        <f aca="false">(1+1+1)/3</f>
        <v>1</v>
      </c>
      <c r="I18" s="60" t="n">
        <f aca="false">(1+1+1)/3</f>
        <v>1</v>
      </c>
      <c r="J18" s="60" t="n">
        <f aca="false">(1+1+1)/3</f>
        <v>1</v>
      </c>
      <c r="K18" s="60" t="n">
        <f aca="false">(1+1+1)/3</f>
        <v>1</v>
      </c>
      <c r="L18" s="31" t="n">
        <f aca="false">(0.95+0.95+0.95)/3</f>
        <v>0.95</v>
      </c>
      <c r="M18" s="30" t="n">
        <v>1</v>
      </c>
      <c r="N18" s="31" t="n">
        <v>0.95</v>
      </c>
      <c r="O18" s="30" t="n">
        <v>1</v>
      </c>
      <c r="P18" s="30" t="n">
        <v>1</v>
      </c>
      <c r="Q18" s="30" t="n">
        <v>1</v>
      </c>
      <c r="R18" s="61"/>
      <c r="S18" s="61"/>
      <c r="T18" s="61"/>
      <c r="U18" s="61"/>
      <c r="V18" s="61" t="s">
        <v>70</v>
      </c>
      <c r="W18" s="61"/>
      <c r="X18" s="61"/>
      <c r="Y18" s="61"/>
      <c r="Z18" s="62" t="s">
        <v>45</v>
      </c>
      <c r="AA18" s="62"/>
      <c r="AB18" s="62"/>
    </row>
    <row r="19" customFormat="false" ht="42" hidden="false" customHeight="false" outlineLevel="0" collapsed="false">
      <c r="A19" s="25" t="s">
        <v>71</v>
      </c>
      <c r="B19" s="45" t="s">
        <v>72</v>
      </c>
      <c r="C19" s="58" t="s">
        <v>73</v>
      </c>
      <c r="D19" s="59"/>
      <c r="E19" s="55" t="s">
        <v>9</v>
      </c>
      <c r="F19" s="29" t="n">
        <v>1</v>
      </c>
      <c r="G19" s="60" t="n">
        <f aca="false">(1+1.12+1)/3</f>
        <v>1.04</v>
      </c>
      <c r="H19" s="60" t="n">
        <f aca="false">(1+1+1)/3</f>
        <v>1</v>
      </c>
      <c r="I19" s="60" t="n">
        <f aca="false">(1+1+1)/3</f>
        <v>1</v>
      </c>
      <c r="J19" s="60" t="n">
        <f aca="false">(0.98+0.98+0.98)/3</f>
        <v>0.98</v>
      </c>
      <c r="K19" s="60" t="n">
        <f aca="false">(1+1+1)/3</f>
        <v>1</v>
      </c>
      <c r="L19" s="35" t="n">
        <f aca="false">(0.84+0.84+0.84)/3</f>
        <v>0.84</v>
      </c>
      <c r="M19" s="31" t="n">
        <v>0.89</v>
      </c>
      <c r="N19" s="30" t="n">
        <v>1</v>
      </c>
      <c r="O19" s="30" t="s">
        <v>74</v>
      </c>
      <c r="P19" s="30" t="s">
        <v>74</v>
      </c>
      <c r="Q19" s="30" t="n">
        <v>1</v>
      </c>
      <c r="R19" s="33"/>
      <c r="S19" s="33"/>
      <c r="T19" s="33"/>
      <c r="U19" s="33"/>
      <c r="V19" s="33" t="s">
        <v>75</v>
      </c>
      <c r="W19" s="33"/>
      <c r="X19" s="33"/>
      <c r="Y19" s="33"/>
      <c r="Z19" s="62" t="s">
        <v>45</v>
      </c>
      <c r="AA19" s="62"/>
      <c r="AB19" s="62"/>
    </row>
    <row r="20" customFormat="false" ht="42" hidden="false" customHeight="false" outlineLevel="0" collapsed="false">
      <c r="A20" s="25" t="s">
        <v>76</v>
      </c>
      <c r="B20" s="45" t="s">
        <v>77</v>
      </c>
      <c r="C20" s="58" t="s">
        <v>78</v>
      </c>
      <c r="D20" s="59"/>
      <c r="E20" s="55" t="s">
        <v>9</v>
      </c>
      <c r="F20" s="29" t="n">
        <v>1</v>
      </c>
      <c r="G20" s="30" t="n">
        <f aca="false">(1.09+1.09+1.23)/3</f>
        <v>1.13666666666667</v>
      </c>
      <c r="H20" s="30"/>
      <c r="I20" s="30" t="n">
        <f aca="false">(1.15+1.15+1.15)/3</f>
        <v>1.15</v>
      </c>
      <c r="J20" s="30" t="n">
        <f aca="false">(1.16+1.14+1.15)/3</f>
        <v>1.15</v>
      </c>
      <c r="K20" s="60" t="n">
        <f aca="false">(1.14+1.13+1.1)/3</f>
        <v>1.12333333333333</v>
      </c>
      <c r="L20" s="31" t="n">
        <f aca="false">(0.97+0.97+0.95)/3</f>
        <v>0.963333333333333</v>
      </c>
      <c r="M20" s="30" t="n">
        <v>1.16</v>
      </c>
      <c r="N20" s="31" t="n">
        <v>0.98</v>
      </c>
      <c r="O20" s="30" t="s">
        <v>44</v>
      </c>
      <c r="P20" s="30" t="n">
        <v>1.07</v>
      </c>
      <c r="Q20" s="30" t="n">
        <v>1</v>
      </c>
      <c r="R20" s="33"/>
      <c r="S20" s="33"/>
      <c r="T20" s="33"/>
      <c r="U20" s="33"/>
      <c r="V20" s="33" t="s">
        <v>79</v>
      </c>
      <c r="W20" s="33"/>
      <c r="X20" s="33"/>
      <c r="Y20" s="33"/>
      <c r="Z20" s="62" t="s">
        <v>45</v>
      </c>
      <c r="AA20" s="62"/>
      <c r="AB20" s="62"/>
    </row>
    <row r="21" customFormat="false" ht="28" hidden="false" customHeight="false" outlineLevel="0" collapsed="false">
      <c r="A21" s="25" t="s">
        <v>80</v>
      </c>
      <c r="B21" s="45" t="s">
        <v>81</v>
      </c>
      <c r="C21" s="58" t="s">
        <v>82</v>
      </c>
      <c r="D21" s="59"/>
      <c r="E21" s="28" t="s">
        <v>83</v>
      </c>
      <c r="F21" s="63" t="n">
        <v>2</v>
      </c>
      <c r="G21" s="64" t="n">
        <f aca="false">(0+0+0)/3</f>
        <v>0</v>
      </c>
      <c r="H21" s="64" t="n">
        <f aca="false">(0+0+0)/3</f>
        <v>0</v>
      </c>
      <c r="I21" s="64" t="n">
        <f aca="false">(0+0+1)/3</f>
        <v>0.333333333333333</v>
      </c>
      <c r="J21" s="64" t="n">
        <f aca="false">(1+0+0)/3</f>
        <v>0.333333333333333</v>
      </c>
      <c r="K21" s="64" t="n">
        <f aca="false">(1+0+0)/3</f>
        <v>0.333333333333333</v>
      </c>
      <c r="L21" s="65" t="n">
        <f aca="false">(1+0+0)/3</f>
        <v>0.333333333333333</v>
      </c>
      <c r="M21" s="65" t="n">
        <v>0.33</v>
      </c>
      <c r="N21" s="65" t="n">
        <v>0</v>
      </c>
      <c r="O21" s="65" t="n">
        <v>0</v>
      </c>
      <c r="P21" s="65" t="n">
        <v>0</v>
      </c>
      <c r="Q21" s="65" t="n">
        <v>0</v>
      </c>
      <c r="R21" s="66"/>
      <c r="S21" s="66"/>
      <c r="T21" s="66"/>
      <c r="U21" s="66"/>
      <c r="V21" s="66"/>
      <c r="W21" s="66"/>
      <c r="X21" s="66"/>
      <c r="Y21" s="66"/>
      <c r="Z21" s="66"/>
      <c r="AA21" s="66"/>
      <c r="AB21" s="66"/>
    </row>
    <row r="22" customFormat="false" ht="78" hidden="false" customHeight="true" outlineLevel="0" collapsed="false">
      <c r="A22" s="25" t="s">
        <v>84</v>
      </c>
      <c r="B22" s="45" t="s">
        <v>85</v>
      </c>
      <c r="C22" s="58" t="s">
        <v>86</v>
      </c>
      <c r="D22" s="59"/>
      <c r="E22" s="28" t="s">
        <v>83</v>
      </c>
      <c r="F22" s="29" t="n">
        <v>0.01</v>
      </c>
      <c r="G22" s="67" t="n">
        <f aca="false">(0.0032+0.0032+0.0023)/3</f>
        <v>0.0029</v>
      </c>
      <c r="H22" s="67" t="n">
        <f aca="false">(0.0035+0.0032+0.0023)/3</f>
        <v>0.003</v>
      </c>
      <c r="I22" s="67" t="n">
        <f aca="false">(0.0003+0.0015+0.0028)/3</f>
        <v>0.00153333333333333</v>
      </c>
      <c r="J22" s="67" t="n">
        <f aca="false">(0.0037+0.0026+0.0014)/3</f>
        <v>0.00256666666666667</v>
      </c>
      <c r="K22" s="67" t="n">
        <f aca="false">(0.0104+0.0007+0.0002)/3</f>
        <v>0.00376666666666667</v>
      </c>
      <c r="L22" s="68" t="n">
        <f aca="false">(0.0012+0.0014+0.0052)/3</f>
        <v>0.0026</v>
      </c>
      <c r="M22" s="68" t="n">
        <v>0.0041</v>
      </c>
      <c r="N22" s="68" t="s">
        <v>87</v>
      </c>
      <c r="O22" s="68" t="s">
        <v>87</v>
      </c>
      <c r="P22" s="68" t="s">
        <v>87</v>
      </c>
      <c r="Q22" s="68" t="s">
        <v>88</v>
      </c>
      <c r="R22" s="41"/>
      <c r="S22" s="41"/>
      <c r="T22" s="41"/>
      <c r="U22" s="41"/>
      <c r="V22" s="41"/>
      <c r="W22" s="41"/>
      <c r="X22" s="41"/>
      <c r="Y22" s="41" t="s">
        <v>89</v>
      </c>
      <c r="Z22" s="41"/>
      <c r="AA22" s="41"/>
      <c r="AB22" s="41"/>
    </row>
    <row r="23" customFormat="false" ht="28" hidden="false" customHeight="false" outlineLevel="0" collapsed="false">
      <c r="A23" s="25" t="s">
        <v>41</v>
      </c>
      <c r="B23" s="45" t="s">
        <v>90</v>
      </c>
      <c r="C23" s="58" t="s">
        <v>91</v>
      </c>
      <c r="D23" s="59"/>
      <c r="E23" s="28" t="s">
        <v>92</v>
      </c>
      <c r="F23" s="37" t="n">
        <v>1</v>
      </c>
      <c r="G23" s="64" t="n">
        <f aca="false">(0+0+0)/3</f>
        <v>0</v>
      </c>
      <c r="H23" s="64" t="n">
        <f aca="false">(0+0+0)/3</f>
        <v>0</v>
      </c>
      <c r="I23" s="64" t="n">
        <f aca="false">(0+1+0)/3</f>
        <v>0.333333333333333</v>
      </c>
      <c r="J23" s="64" t="n">
        <f aca="false">(0+0+0)/3</f>
        <v>0</v>
      </c>
      <c r="K23" s="65" t="n">
        <f aca="false">(0+0+0)/3</f>
        <v>0</v>
      </c>
      <c r="L23" s="65" t="n">
        <f aca="false">(0+0+0)/3</f>
        <v>0</v>
      </c>
      <c r="M23" s="65" t="n">
        <v>0.33</v>
      </c>
      <c r="N23" s="65" t="n">
        <v>0</v>
      </c>
      <c r="O23" s="65" t="n">
        <v>1</v>
      </c>
      <c r="P23" s="65" t="n">
        <v>1</v>
      </c>
      <c r="Q23" s="65" t="n">
        <v>0</v>
      </c>
      <c r="R23" s="69"/>
      <c r="S23" s="69"/>
      <c r="T23" s="69"/>
      <c r="U23" s="69"/>
      <c r="V23" s="69"/>
      <c r="W23" s="69"/>
      <c r="X23" s="69" t="s">
        <v>93</v>
      </c>
      <c r="Y23" s="69"/>
      <c r="Z23" s="69"/>
      <c r="AA23" s="69"/>
      <c r="AB23" s="69"/>
    </row>
    <row r="24" customFormat="false" ht="126" hidden="false" customHeight="false" outlineLevel="0" collapsed="false">
      <c r="A24" s="25" t="s">
        <v>65</v>
      </c>
      <c r="B24" s="70" t="s">
        <v>94</v>
      </c>
      <c r="C24" s="58" t="s">
        <v>95</v>
      </c>
      <c r="D24" s="59" t="s">
        <v>96</v>
      </c>
      <c r="E24" s="28" t="s">
        <v>97</v>
      </c>
      <c r="F24" s="29" t="n">
        <v>0.99</v>
      </c>
      <c r="G24" s="71" t="n">
        <f aca="false">(0.98+0.84+0.95)/3</f>
        <v>0.923333333333333</v>
      </c>
      <c r="H24" s="71" t="n">
        <f aca="false">(0.89+0.9+0.98)/3</f>
        <v>0.923333333333333</v>
      </c>
      <c r="I24" s="72" t="n">
        <f aca="false">(0.95+0.99+1)/3</f>
        <v>0.98</v>
      </c>
      <c r="J24" s="73" t="n">
        <f aca="false">(1+0.99+0.99)/3</f>
        <v>0.993333333333333</v>
      </c>
      <c r="K24" s="72" t="n">
        <f aca="false">(0.92+1+0.99)/3</f>
        <v>0.97</v>
      </c>
      <c r="L24" s="73" t="n">
        <f aca="false">(0.99+0.99+1)/3</f>
        <v>0.993333333333333</v>
      </c>
      <c r="M24" s="73" t="n">
        <v>1</v>
      </c>
      <c r="N24" s="73" t="n">
        <v>0.993</v>
      </c>
      <c r="O24" s="72" t="n">
        <v>0.983</v>
      </c>
      <c r="P24" s="73" t="s">
        <v>98</v>
      </c>
      <c r="Q24" s="73" t="n">
        <v>1</v>
      </c>
      <c r="R24" s="74" t="s">
        <v>99</v>
      </c>
      <c r="S24" s="75" t="s">
        <v>100</v>
      </c>
      <c r="T24" s="75" t="s">
        <v>101</v>
      </c>
      <c r="U24" s="75"/>
      <c r="V24" s="75" t="s">
        <v>102</v>
      </c>
      <c r="W24" s="75"/>
      <c r="X24" s="75"/>
      <c r="Y24" s="75"/>
      <c r="Z24" s="75"/>
      <c r="AA24" s="75"/>
      <c r="AB24" s="75"/>
    </row>
    <row r="25" customFormat="false" ht="42" hidden="false" customHeight="false" outlineLevel="0" collapsed="false">
      <c r="A25" s="25" t="s">
        <v>68</v>
      </c>
      <c r="B25" s="70" t="s">
        <v>103</v>
      </c>
      <c r="C25" s="58" t="s">
        <v>104</v>
      </c>
      <c r="D25" s="59" t="s">
        <v>96</v>
      </c>
      <c r="E25" s="28" t="s">
        <v>97</v>
      </c>
      <c r="F25" s="29" t="n">
        <v>0.99</v>
      </c>
      <c r="G25" s="76" t="n">
        <f aca="false">(0.87+1+1)/3</f>
        <v>0.956666666666667</v>
      </c>
      <c r="H25" s="60" t="n">
        <f aca="false">(1+1+1)/3</f>
        <v>1</v>
      </c>
      <c r="I25" s="60" t="n">
        <f aca="false">(1+1+1)/3</f>
        <v>1</v>
      </c>
      <c r="J25" s="60" t="n">
        <f aca="false">(1+1+1)/3</f>
        <v>1</v>
      </c>
      <c r="K25" s="60" t="n">
        <f aca="false">(1+0.99+1)/3</f>
        <v>0.996666666666667</v>
      </c>
      <c r="L25" s="60" t="n">
        <f aca="false">(1+0.99+1)/3</f>
        <v>0.996666666666667</v>
      </c>
      <c r="M25" s="60" t="n">
        <v>1</v>
      </c>
      <c r="N25" s="60" t="s">
        <v>74</v>
      </c>
      <c r="O25" s="60" t="n">
        <v>0.99</v>
      </c>
      <c r="P25" s="60" t="s">
        <v>98</v>
      </c>
      <c r="Q25" s="77" t="n">
        <v>0.9807</v>
      </c>
      <c r="R25" s="74" t="s">
        <v>105</v>
      </c>
      <c r="S25" s="74"/>
      <c r="T25" s="74"/>
      <c r="U25" s="74"/>
      <c r="V25" s="74"/>
      <c r="W25" s="74"/>
      <c r="X25" s="74"/>
      <c r="Y25" s="74"/>
      <c r="Z25" s="74"/>
      <c r="AA25" s="74"/>
      <c r="AB25" s="74"/>
    </row>
    <row r="26" customFormat="false" ht="158.25" hidden="false" customHeight="true" outlineLevel="0" collapsed="false">
      <c r="A26" s="25" t="s">
        <v>106</v>
      </c>
      <c r="B26" s="70" t="s">
        <v>107</v>
      </c>
      <c r="C26" s="58" t="s">
        <v>108</v>
      </c>
      <c r="D26" s="59" t="s">
        <v>96</v>
      </c>
      <c r="E26" s="28" t="s">
        <v>97</v>
      </c>
      <c r="F26" s="29" t="n">
        <v>0.99</v>
      </c>
      <c r="G26" s="77" t="n">
        <f aca="false">(1+0.97+0.96)/3</f>
        <v>0.976666666666667</v>
      </c>
      <c r="H26" s="76" t="n">
        <f aca="false">(0.9+0.84+0.95)/3</f>
        <v>0.896666666666667</v>
      </c>
      <c r="I26" s="76" t="n">
        <f aca="false">(0.91+0.95+0.96)/3</f>
        <v>0.94</v>
      </c>
      <c r="J26" s="77" t="n">
        <f aca="false">(0.96+0.99+0.99)/3</f>
        <v>0.98</v>
      </c>
      <c r="K26" s="60" t="n">
        <f aca="false">(1+1+0.98)/3</f>
        <v>0.993333333333333</v>
      </c>
      <c r="L26" s="77" t="n">
        <f aca="false">(0.98+0.99+0.97)/3</f>
        <v>0.98</v>
      </c>
      <c r="M26" s="76" t="n">
        <v>0.92</v>
      </c>
      <c r="N26" s="77" t="n">
        <v>0.973</v>
      </c>
      <c r="O26" s="77" t="n">
        <v>0.973</v>
      </c>
      <c r="P26" s="77" t="n">
        <v>0.973</v>
      </c>
      <c r="Q26" s="60" t="n">
        <v>0.9872</v>
      </c>
      <c r="R26" s="78" t="s">
        <v>109</v>
      </c>
      <c r="S26" s="78" t="s">
        <v>110</v>
      </c>
      <c r="T26" s="78" t="s">
        <v>111</v>
      </c>
      <c r="U26" s="78" t="s">
        <v>112</v>
      </c>
      <c r="V26" s="78"/>
      <c r="W26" s="78"/>
      <c r="X26" s="78"/>
      <c r="Y26" s="78"/>
      <c r="Z26" s="78"/>
      <c r="AA26" s="78"/>
      <c r="AB26" s="78"/>
    </row>
    <row r="27" customFormat="false" ht="84" hidden="false" customHeight="false" outlineLevel="0" collapsed="false">
      <c r="A27" s="25" t="s">
        <v>113</v>
      </c>
      <c r="B27" s="70" t="s">
        <v>114</v>
      </c>
      <c r="C27" s="58" t="s">
        <v>115</v>
      </c>
      <c r="D27" s="59" t="s">
        <v>96</v>
      </c>
      <c r="E27" s="28" t="s">
        <v>97</v>
      </c>
      <c r="F27" s="29" t="n">
        <v>0.99</v>
      </c>
      <c r="G27" s="77" t="n">
        <f aca="false">(0.97+0.98+0.97)/3</f>
        <v>0.973333333333333</v>
      </c>
      <c r="H27" s="77" t="n">
        <f aca="false">(0.92+0.99+1)/3</f>
        <v>0.97</v>
      </c>
      <c r="I27" s="76" t="n">
        <f aca="false">(0.99+1+0.88)/3</f>
        <v>0.956666666666667</v>
      </c>
      <c r="J27" s="60" t="n">
        <f aca="false">(1+1+1)/3</f>
        <v>1</v>
      </c>
      <c r="K27" s="60" t="n">
        <f aca="false">(1+1+1)/3</f>
        <v>1</v>
      </c>
      <c r="L27" s="60" t="n">
        <f aca="false">(1+1+1)/3</f>
        <v>1</v>
      </c>
      <c r="M27" s="60" t="n">
        <f aca="false">(1+1+1)/3</f>
        <v>1</v>
      </c>
      <c r="N27" s="60" t="n">
        <v>1</v>
      </c>
      <c r="O27" s="60" t="n">
        <v>1</v>
      </c>
      <c r="P27" s="60" t="n">
        <v>1</v>
      </c>
      <c r="Q27" s="60" t="n">
        <v>0.9992</v>
      </c>
      <c r="R27" s="74" t="s">
        <v>116</v>
      </c>
      <c r="S27" s="74" t="s">
        <v>117</v>
      </c>
      <c r="T27" s="74" t="s">
        <v>118</v>
      </c>
      <c r="U27" s="74"/>
      <c r="V27" s="74"/>
      <c r="W27" s="74"/>
      <c r="X27" s="74"/>
      <c r="Y27" s="74"/>
      <c r="Z27" s="74"/>
      <c r="AA27" s="74"/>
      <c r="AB27" s="74"/>
    </row>
    <row r="28" customFormat="false" ht="14" hidden="false" customHeight="false" outlineLevel="0" collapsed="false">
      <c r="A28" s="25" t="s">
        <v>119</v>
      </c>
      <c r="B28" s="70" t="s">
        <v>120</v>
      </c>
      <c r="C28" s="58" t="s">
        <v>121</v>
      </c>
      <c r="D28" s="59"/>
      <c r="E28" s="28" t="s">
        <v>92</v>
      </c>
      <c r="F28" s="29" t="n">
        <v>0.99</v>
      </c>
      <c r="G28" s="60" t="n">
        <f aca="false">(1+1+1)/3</f>
        <v>1</v>
      </c>
      <c r="H28" s="60" t="n">
        <f aca="false">(1+1+1)/3</f>
        <v>1</v>
      </c>
      <c r="I28" s="60" t="n">
        <f aca="false">(1+0.9916+1)/3</f>
        <v>0.9972</v>
      </c>
      <c r="J28" s="60" t="n">
        <f aca="false">(1+0.9916+1)/3</f>
        <v>0.9972</v>
      </c>
      <c r="K28" s="60" t="n">
        <f aca="false">(0.9984+1+1)/3</f>
        <v>0.999466666666667</v>
      </c>
      <c r="L28" s="60" t="n">
        <f aca="false">(0.9986+1+1)/3</f>
        <v>0.999533333333333</v>
      </c>
      <c r="M28" s="60" t="n">
        <v>1</v>
      </c>
      <c r="N28" s="60" t="s">
        <v>74</v>
      </c>
      <c r="O28" s="60" t="n">
        <v>0.96</v>
      </c>
      <c r="P28" s="60" t="n">
        <v>0.96</v>
      </c>
      <c r="Q28" s="60" t="n">
        <v>1</v>
      </c>
      <c r="R28" s="79"/>
      <c r="S28" s="79"/>
      <c r="T28" s="79"/>
      <c r="U28" s="79"/>
      <c r="V28" s="79"/>
      <c r="W28" s="79"/>
      <c r="X28" s="79"/>
      <c r="Y28" s="79"/>
      <c r="Z28" s="79"/>
      <c r="AA28" s="79"/>
      <c r="AB28" s="79"/>
    </row>
    <row r="29" customFormat="false" ht="13" hidden="false" customHeight="false" outlineLevel="0" collapsed="false">
      <c r="A29" s="80"/>
      <c r="B29" s="81"/>
      <c r="C29" s="82"/>
      <c r="D29" s="83"/>
      <c r="E29" s="44"/>
      <c r="F29" s="51"/>
      <c r="G29" s="51"/>
      <c r="H29" s="51"/>
      <c r="I29" s="51"/>
      <c r="J29" s="51"/>
      <c r="K29" s="51"/>
      <c r="L29" s="51"/>
      <c r="M29" s="51"/>
      <c r="N29" s="51"/>
      <c r="O29" s="51"/>
      <c r="P29" s="51"/>
      <c r="Q29" s="51"/>
      <c r="R29" s="79"/>
      <c r="S29" s="79"/>
      <c r="T29" s="79"/>
      <c r="U29" s="79"/>
      <c r="V29" s="79"/>
      <c r="W29" s="79"/>
      <c r="X29" s="79"/>
      <c r="Y29" s="79"/>
      <c r="Z29" s="79"/>
      <c r="AA29" s="79"/>
      <c r="AB29" s="79"/>
    </row>
    <row r="30" customFormat="false" ht="55.5" hidden="false" customHeight="true" outlineLevel="0" collapsed="false">
      <c r="A30" s="25" t="s">
        <v>122</v>
      </c>
      <c r="B30" s="45" t="s">
        <v>67</v>
      </c>
      <c r="C30" s="26" t="s">
        <v>123</v>
      </c>
      <c r="D30" s="59"/>
      <c r="E30" s="28" t="s">
        <v>54</v>
      </c>
      <c r="F30" s="29" t="n">
        <v>0.97</v>
      </c>
      <c r="G30" s="73" t="n">
        <f aca="false">(0.99+1+1)/3</f>
        <v>0.996666666666667</v>
      </c>
      <c r="H30" s="73" t="n">
        <f aca="false">(0.98+0.98+1)/3</f>
        <v>0.986666666666667</v>
      </c>
      <c r="I30" s="73" t="n">
        <f aca="false">(0.992+0.996+0.999)/3</f>
        <v>0.995666666666667</v>
      </c>
      <c r="J30" s="73" t="n">
        <f aca="false">(1+0.995+0.998)/3</f>
        <v>0.997666666666667</v>
      </c>
      <c r="K30" s="73" t="n">
        <f aca="false">(0.985+1+0.992)/3</f>
        <v>0.992333333333333</v>
      </c>
      <c r="L30" s="71" t="n">
        <f aca="false">(0.99+0.69+0.847)/3</f>
        <v>0.842333333333333</v>
      </c>
      <c r="M30" s="60" t="n">
        <f aca="false">(0.99+1+0.996)/3</f>
        <v>0.995333333333333</v>
      </c>
      <c r="N30" s="60" t="s">
        <v>124</v>
      </c>
      <c r="O30" s="60"/>
      <c r="P30" s="60"/>
      <c r="Q30" s="60"/>
      <c r="R30" s="74"/>
      <c r="S30" s="74"/>
      <c r="T30" s="74"/>
      <c r="U30" s="74"/>
      <c r="V30" s="74" t="s">
        <v>125</v>
      </c>
      <c r="W30" s="74"/>
      <c r="X30" s="74"/>
      <c r="Y30" s="74"/>
      <c r="Z30" s="74"/>
      <c r="AA30" s="74"/>
      <c r="AB30" s="74"/>
    </row>
    <row r="31" customFormat="false" ht="31.5" hidden="false" customHeight="true" outlineLevel="0" collapsed="false">
      <c r="A31" s="25" t="s">
        <v>126</v>
      </c>
      <c r="B31" s="45" t="s">
        <v>113</v>
      </c>
      <c r="C31" s="84" t="s">
        <v>127</v>
      </c>
      <c r="D31" s="59"/>
      <c r="E31" s="28" t="s">
        <v>54</v>
      </c>
      <c r="F31" s="29" t="n">
        <v>0.97</v>
      </c>
      <c r="G31" s="76" t="n">
        <f aca="false">(0.87+1+1)/3</f>
        <v>0.956666666666667</v>
      </c>
      <c r="H31" s="60" t="n">
        <f aca="false">(1+1+1)/3</f>
        <v>1</v>
      </c>
      <c r="I31" s="60" t="n">
        <f aca="false">(1+1+1)/3</f>
        <v>1</v>
      </c>
      <c r="J31" s="60" t="n">
        <f aca="false">(1+1+1)/3</f>
        <v>1</v>
      </c>
      <c r="K31" s="60" t="n">
        <f aca="false">(1+0.99+1)/3</f>
        <v>0.996666666666667</v>
      </c>
      <c r="L31" s="60" t="n">
        <f aca="false">(0.99+1+1)/3</f>
        <v>0.996666666666667</v>
      </c>
      <c r="M31" s="60" t="n">
        <v>1</v>
      </c>
      <c r="N31" s="60" t="n">
        <v>0.987</v>
      </c>
      <c r="O31" s="60" t="n">
        <v>0.99</v>
      </c>
      <c r="P31" s="60" t="n">
        <v>0.987</v>
      </c>
      <c r="Q31" s="60" t="n">
        <v>0.99</v>
      </c>
      <c r="R31" s="74" t="s">
        <v>128</v>
      </c>
      <c r="S31" s="74"/>
      <c r="T31" s="74"/>
      <c r="U31" s="74"/>
      <c r="V31" s="74"/>
      <c r="W31" s="74"/>
      <c r="X31" s="74"/>
      <c r="Y31" s="74"/>
      <c r="Z31" s="74"/>
      <c r="AA31" s="74"/>
      <c r="AB31" s="74"/>
    </row>
    <row r="32" customFormat="false" ht="28" hidden="false" customHeight="false" outlineLevel="0" collapsed="false">
      <c r="A32" s="25" t="s">
        <v>129</v>
      </c>
      <c r="B32" s="45" t="s">
        <v>119</v>
      </c>
      <c r="C32" s="34" t="s">
        <v>130</v>
      </c>
      <c r="D32" s="59"/>
      <c r="E32" s="28" t="s">
        <v>54</v>
      </c>
      <c r="F32" s="29" t="n">
        <v>0.97</v>
      </c>
      <c r="G32" s="71" t="n">
        <f aca="false">(0.98+0.84+0.95)/3</f>
        <v>0.923333333333333</v>
      </c>
      <c r="H32" s="71" t="n">
        <f aca="false">(0.89+0.9+0.98)/3</f>
        <v>0.923333333333333</v>
      </c>
      <c r="I32" s="60" t="n">
        <f aca="false">(0.95+0.99+1)/3</f>
        <v>0.98</v>
      </c>
      <c r="J32" s="60" t="n">
        <f aca="false">(1+0.99+0.99)/3</f>
        <v>0.993333333333333</v>
      </c>
      <c r="K32" s="77" t="n">
        <f aca="false">(0.92+1+0.99)/3</f>
        <v>0.97</v>
      </c>
      <c r="L32" s="60" t="n">
        <f aca="false">(0.99+0.99+1)/3</f>
        <v>0.993333333333333</v>
      </c>
      <c r="M32" s="60" t="n">
        <f aca="false">(0.99+1+1)/3</f>
        <v>0.996666666666667</v>
      </c>
      <c r="N32" s="60" t="n">
        <v>0.993</v>
      </c>
      <c r="O32" s="60" t="n">
        <v>0.993</v>
      </c>
      <c r="P32" s="60" t="n">
        <v>0.987</v>
      </c>
      <c r="Q32" s="60" t="n">
        <v>0.99</v>
      </c>
      <c r="R32" s="74" t="s">
        <v>131</v>
      </c>
      <c r="S32" s="74" t="s">
        <v>131</v>
      </c>
      <c r="T32" s="74" t="s">
        <v>131</v>
      </c>
      <c r="U32" s="74"/>
      <c r="V32" s="74" t="s">
        <v>131</v>
      </c>
      <c r="W32" s="74"/>
      <c r="X32" s="74"/>
      <c r="Y32" s="74"/>
      <c r="Z32" s="74"/>
      <c r="AA32" s="74"/>
      <c r="AB32" s="74"/>
    </row>
    <row r="33" customFormat="false" ht="84" hidden="false" customHeight="false" outlineLevel="0" collapsed="false">
      <c r="A33" s="25" t="s">
        <v>132</v>
      </c>
      <c r="B33" s="45" t="s">
        <v>133</v>
      </c>
      <c r="C33" s="34" t="s">
        <v>134</v>
      </c>
      <c r="D33" s="27"/>
      <c r="E33" s="28" t="s">
        <v>54</v>
      </c>
      <c r="F33" s="29" t="n">
        <v>0.97</v>
      </c>
      <c r="G33" s="60" t="n">
        <f aca="false">(1+0.97+0.96)/3</f>
        <v>0.976666666666667</v>
      </c>
      <c r="H33" s="76" t="n">
        <f aca="false">(0.9+0.84+0.95)/3</f>
        <v>0.896666666666667</v>
      </c>
      <c r="I33" s="76" t="n">
        <f aca="false">(0.91+0.95+0.96)/3</f>
        <v>0.94</v>
      </c>
      <c r="J33" s="60" t="n">
        <f aca="false">(0.96+0.99+0.99)/3</f>
        <v>0.98</v>
      </c>
      <c r="K33" s="60" t="n">
        <f aca="false">(1+1+0.98)/3</f>
        <v>0.993333333333333</v>
      </c>
      <c r="L33" s="60" t="n">
        <f aca="false">(0.98+0.99+0.97)/3</f>
        <v>0.98</v>
      </c>
      <c r="M33" s="76" t="n">
        <f aca="false">(0.97+0.79+0.99)/3</f>
        <v>0.916666666666667</v>
      </c>
      <c r="N33" s="60" t="n">
        <v>0.973</v>
      </c>
      <c r="O33" s="60" t="n">
        <v>0.973</v>
      </c>
      <c r="P33" s="77" t="n">
        <v>0.963</v>
      </c>
      <c r="Q33" s="77" t="n">
        <v>0.97</v>
      </c>
      <c r="R33" s="74" t="s">
        <v>135</v>
      </c>
      <c r="S33" s="74" t="s">
        <v>136</v>
      </c>
      <c r="T33" s="74" t="s">
        <v>136</v>
      </c>
      <c r="U33" s="74" t="s">
        <v>136</v>
      </c>
      <c r="V33" s="74"/>
      <c r="W33" s="74"/>
      <c r="X33" s="74"/>
      <c r="Y33" s="74"/>
      <c r="Z33" s="74"/>
      <c r="AA33" s="74"/>
      <c r="AB33" s="74"/>
    </row>
    <row r="34" customFormat="false" ht="28" hidden="false" customHeight="false" outlineLevel="0" collapsed="false">
      <c r="A34" s="25" t="s">
        <v>137</v>
      </c>
      <c r="B34" s="70" t="s">
        <v>138</v>
      </c>
      <c r="C34" s="34" t="s">
        <v>139</v>
      </c>
      <c r="D34" s="27"/>
      <c r="E34" s="28" t="s">
        <v>54</v>
      </c>
      <c r="F34" s="29" t="n">
        <v>0.97</v>
      </c>
      <c r="G34" s="60" t="n">
        <f aca="false">(0.97+0.98+0.97)/3</f>
        <v>0.973333333333333</v>
      </c>
      <c r="H34" s="60" t="n">
        <f aca="false">(0.92+0.99+1)/3</f>
        <v>0.97</v>
      </c>
      <c r="I34" s="77" t="n">
        <f aca="false">(0.99+1+0.88)/3</f>
        <v>0.956666666666667</v>
      </c>
      <c r="J34" s="60" t="n">
        <f aca="false">(1+1+1)/3</f>
        <v>1</v>
      </c>
      <c r="K34" s="60" t="n">
        <f aca="false">(1+1+1)/3</f>
        <v>1</v>
      </c>
      <c r="L34" s="60" t="n">
        <f aca="false">(1+1+1)/3</f>
        <v>1</v>
      </c>
      <c r="M34" s="60" t="n">
        <v>1</v>
      </c>
      <c r="N34" s="60" t="n">
        <v>1</v>
      </c>
      <c r="O34" s="60" t="n">
        <v>0.986</v>
      </c>
      <c r="P34" s="60" t="n">
        <v>0.986</v>
      </c>
      <c r="Q34" s="60" t="n">
        <v>0.97</v>
      </c>
      <c r="R34" s="74" t="s">
        <v>140</v>
      </c>
      <c r="S34" s="74" t="s">
        <v>141</v>
      </c>
      <c r="T34" s="74" t="s">
        <v>141</v>
      </c>
      <c r="U34" s="74"/>
      <c r="V34" s="74"/>
      <c r="W34" s="74"/>
      <c r="X34" s="74"/>
      <c r="Y34" s="74"/>
      <c r="Z34" s="74"/>
      <c r="AA34" s="74"/>
      <c r="AB34" s="74"/>
    </row>
    <row r="35" customFormat="false" ht="28" hidden="false" customHeight="false" outlineLevel="0" collapsed="false">
      <c r="A35" s="25" t="s">
        <v>142</v>
      </c>
      <c r="B35" s="70" t="s">
        <v>143</v>
      </c>
      <c r="C35" s="34" t="s">
        <v>144</v>
      </c>
      <c r="D35" s="27"/>
      <c r="E35" s="28" t="s">
        <v>9</v>
      </c>
      <c r="F35" s="29" t="n">
        <v>0.95</v>
      </c>
      <c r="G35" s="60" t="n">
        <f aca="false">((1+1+1)*42+(168-42)*(1+1+1))/(168*3)</f>
        <v>1</v>
      </c>
      <c r="H35" s="60" t="n">
        <f aca="false">(1+1+1)/3</f>
        <v>1</v>
      </c>
      <c r="I35" s="60" t="n">
        <f aca="false">(1+1+1)/3</f>
        <v>1</v>
      </c>
      <c r="J35" s="60" t="n">
        <f aca="false">((1+1+1)*42+(168-42)*(1+1+1))/(168*3)</f>
        <v>1</v>
      </c>
      <c r="K35" s="60" t="n">
        <f aca="false">((1+1+1)*42+(168-42)*(1+1+1))/(168*3)</f>
        <v>1</v>
      </c>
      <c r="L35" s="60" t="n">
        <f aca="false">((1+1+1)*42+(168-42)*(1+1+1))/(168*3)</f>
        <v>1</v>
      </c>
      <c r="M35" s="60" t="n">
        <v>1</v>
      </c>
      <c r="N35" s="60" t="n">
        <v>1</v>
      </c>
      <c r="O35" s="60" t="n">
        <v>1</v>
      </c>
      <c r="P35" s="60" t="n">
        <v>1</v>
      </c>
      <c r="Q35" s="60" t="n">
        <v>1</v>
      </c>
      <c r="R35" s="74"/>
      <c r="S35" s="74"/>
      <c r="T35" s="74"/>
      <c r="U35" s="74"/>
      <c r="V35" s="74"/>
      <c r="W35" s="74"/>
      <c r="X35" s="74"/>
      <c r="Y35" s="74"/>
      <c r="Z35" s="74"/>
      <c r="AA35" s="74"/>
      <c r="AB35" s="74"/>
    </row>
    <row r="36" customFormat="false" ht="28" hidden="false" customHeight="false" outlineLevel="0" collapsed="false">
      <c r="A36" s="25" t="s">
        <v>145</v>
      </c>
      <c r="B36" s="70" t="s">
        <v>146</v>
      </c>
      <c r="C36" s="34" t="s">
        <v>147</v>
      </c>
      <c r="D36" s="27"/>
      <c r="E36" s="28" t="s">
        <v>9</v>
      </c>
      <c r="F36" s="37" t="s">
        <v>148</v>
      </c>
      <c r="G36" s="85" t="n">
        <f aca="false">(0+0+1)/3</f>
        <v>0.333333333333333</v>
      </c>
      <c r="H36" s="85" t="n">
        <f aca="false">(0+0+1)/3</f>
        <v>0.333333333333333</v>
      </c>
      <c r="I36" s="85" t="n">
        <f aca="false">(3+4+0)/3</f>
        <v>2.33333333333333</v>
      </c>
      <c r="J36" s="85" t="n">
        <f aca="false">(0+0+1)/3</f>
        <v>0.333333333333333</v>
      </c>
      <c r="K36" s="85" t="n">
        <f aca="false">(3+0+1)/3</f>
        <v>1.33333333333333</v>
      </c>
      <c r="L36" s="85" t="n">
        <f aca="false">(0+0+1)/3</f>
        <v>0.333333333333333</v>
      </c>
      <c r="M36" s="85" t="n">
        <f aca="false">(1+3+2)/3</f>
        <v>2</v>
      </c>
      <c r="N36" s="85" t="n">
        <v>0</v>
      </c>
      <c r="O36" s="85" t="n">
        <v>1</v>
      </c>
      <c r="P36" s="85" t="n">
        <v>0</v>
      </c>
      <c r="Q36" s="85" t="n">
        <v>3</v>
      </c>
      <c r="R36" s="74"/>
      <c r="S36" s="74"/>
      <c r="T36" s="74"/>
      <c r="U36" s="74"/>
      <c r="V36" s="74"/>
      <c r="W36" s="74"/>
      <c r="X36" s="74"/>
      <c r="Y36" s="74"/>
      <c r="Z36" s="74"/>
      <c r="AA36" s="74"/>
      <c r="AB36" s="74"/>
    </row>
    <row r="37" customFormat="false" ht="42" hidden="false" customHeight="false" outlineLevel="0" collapsed="false">
      <c r="A37" s="25" t="s">
        <v>149</v>
      </c>
      <c r="B37" s="70" t="s">
        <v>150</v>
      </c>
      <c r="C37" s="34" t="s">
        <v>151</v>
      </c>
      <c r="D37" s="27"/>
      <c r="E37" s="28" t="s">
        <v>9</v>
      </c>
      <c r="F37" s="29" t="n">
        <v>0.7</v>
      </c>
      <c r="G37" s="86" t="n">
        <f aca="false">(0.84+0.79+0.72)/3</f>
        <v>0.783333333333333</v>
      </c>
      <c r="H37" s="86" t="n">
        <f aca="false">(0.67+0.77+0.88)/3</f>
        <v>0.773333333333333</v>
      </c>
      <c r="I37" s="86" t="n">
        <f aca="false">(0.88+0.85+0.89)/3</f>
        <v>0.873333333333333</v>
      </c>
      <c r="J37" s="86" t="n">
        <f aca="false">(0.87+0.84+0.84)/3</f>
        <v>0.85</v>
      </c>
      <c r="K37" s="86" t="n">
        <f aca="false">(0.86+0.85+0.82)/3</f>
        <v>0.843333333333333</v>
      </c>
      <c r="L37" s="86" t="n">
        <f aca="false">(0.82+0.85+0.86)/3</f>
        <v>0.843333333333333</v>
      </c>
      <c r="M37" s="86" t="n">
        <f aca="false">(0.866+0.882+0.875)/3</f>
        <v>0.874333333333333</v>
      </c>
      <c r="N37" s="86" t="n">
        <v>0.823</v>
      </c>
      <c r="O37" s="86" t="n">
        <v>0.764</v>
      </c>
      <c r="P37" s="86" t="s">
        <v>152</v>
      </c>
      <c r="Q37" s="86" t="n">
        <f aca="false">(74.9+75.1+65.4)/300</f>
        <v>0.718</v>
      </c>
      <c r="R37" s="74"/>
      <c r="S37" s="74"/>
      <c r="T37" s="74"/>
      <c r="U37" s="74"/>
      <c r="V37" s="74"/>
      <c r="W37" s="74"/>
      <c r="X37" s="74"/>
      <c r="Y37" s="74"/>
      <c r="Z37" s="62" t="s">
        <v>45</v>
      </c>
      <c r="AA37" s="62"/>
      <c r="AB37" s="62"/>
    </row>
    <row r="38" customFormat="false" ht="42" hidden="false" customHeight="false" outlineLevel="0" collapsed="false">
      <c r="A38" s="25" t="s">
        <v>153</v>
      </c>
      <c r="B38" s="70" t="s">
        <v>154</v>
      </c>
      <c r="C38" s="34" t="s">
        <v>155</v>
      </c>
      <c r="D38" s="27"/>
      <c r="E38" s="28" t="s">
        <v>9</v>
      </c>
      <c r="F38" s="29" t="n">
        <v>0.7</v>
      </c>
      <c r="G38" s="86" t="n">
        <f aca="false">(0.97+0.88+0.98)/3</f>
        <v>0.943333333333333</v>
      </c>
      <c r="H38" s="86" t="n">
        <f aca="false">(0.94+0.95+0.96)/3</f>
        <v>0.95</v>
      </c>
      <c r="I38" s="86" t="n">
        <f aca="false">(0.97+0.85+0.9)/3</f>
        <v>0.906666666666667</v>
      </c>
      <c r="J38" s="86" t="n">
        <f aca="false">(0.92+0.89+0.98)/3</f>
        <v>0.93</v>
      </c>
      <c r="K38" s="86" t="n">
        <f aca="false">(0.98+0.87+0.96)/3</f>
        <v>0.936666666666667</v>
      </c>
      <c r="L38" s="86" t="n">
        <f aca="false">(0.93+0.93+0.91)/3</f>
        <v>0.923333333333333</v>
      </c>
      <c r="M38" s="86" t="n">
        <f aca="false">(0.943+0.97+0.92)/3</f>
        <v>0.944333333333333</v>
      </c>
      <c r="N38" s="86" t="n">
        <v>0.971</v>
      </c>
      <c r="O38" s="86" t="n">
        <v>0.7545</v>
      </c>
      <c r="P38" s="86" t="s">
        <v>156</v>
      </c>
      <c r="Q38" s="86" t="n">
        <f aca="false">2*(244163+267519+293586)/(655951+652592+653666)</f>
        <v>0.82077699164564</v>
      </c>
      <c r="R38" s="74"/>
      <c r="S38" s="74"/>
      <c r="T38" s="74"/>
      <c r="U38" s="74"/>
      <c r="V38" s="74"/>
      <c r="W38" s="74"/>
      <c r="X38" s="74"/>
      <c r="Y38" s="74"/>
      <c r="Z38" s="62" t="s">
        <v>45</v>
      </c>
      <c r="AA38" s="62"/>
      <c r="AB38" s="62"/>
    </row>
    <row r="39" customFormat="false" ht="42" hidden="false" customHeight="false" outlineLevel="0" collapsed="false">
      <c r="A39" s="25" t="s">
        <v>157</v>
      </c>
      <c r="B39" s="70" t="s">
        <v>158</v>
      </c>
      <c r="C39" s="34" t="s">
        <v>159</v>
      </c>
      <c r="D39" s="27"/>
      <c r="E39" s="28" t="s">
        <v>9</v>
      </c>
      <c r="F39" s="29" t="n">
        <v>0.2</v>
      </c>
      <c r="G39" s="86" t="n">
        <f aca="false">(0.78+0.79+0.75)/3</f>
        <v>0.773333333333333</v>
      </c>
      <c r="H39" s="86"/>
      <c r="I39" s="86" t="n">
        <f aca="false">(0.47+0.46+0.47)/3</f>
        <v>0.466666666666667</v>
      </c>
      <c r="J39" s="86" t="n">
        <f aca="false">(0.51+0.54+0.54)/3</f>
        <v>0.53</v>
      </c>
      <c r="K39" s="86" t="n">
        <f aca="false">(0.52+0.45+0.44)/3</f>
        <v>0.47</v>
      </c>
      <c r="L39" s="86" t="n">
        <f aca="false">(0.45+0.43+0.33)/3</f>
        <v>0.403333333333333</v>
      </c>
      <c r="M39" s="86" t="n">
        <f aca="false">(0.275+0.27+0.52)/3</f>
        <v>0.355</v>
      </c>
      <c r="N39" s="86"/>
      <c r="O39" s="86"/>
      <c r="P39" s="86"/>
      <c r="Q39" s="86"/>
      <c r="R39" s="74"/>
      <c r="S39" s="74"/>
      <c r="T39" s="74"/>
      <c r="U39" s="74"/>
      <c r="V39" s="74"/>
      <c r="W39" s="74"/>
      <c r="X39" s="74"/>
      <c r="Y39" s="74"/>
      <c r="Z39" s="62" t="s">
        <v>45</v>
      </c>
      <c r="AA39" s="62"/>
      <c r="AB39" s="62"/>
    </row>
    <row r="40" customFormat="false" ht="14" hidden="false" customHeight="false" outlineLevel="0" collapsed="false">
      <c r="A40" s="25" t="s">
        <v>160</v>
      </c>
      <c r="B40" s="70" t="s">
        <v>161</v>
      </c>
      <c r="C40" s="87" t="s">
        <v>162</v>
      </c>
      <c r="D40" s="27"/>
      <c r="E40" s="28" t="s">
        <v>92</v>
      </c>
      <c r="F40" s="63" t="n">
        <f aca="false">6770*0.8</f>
        <v>5416</v>
      </c>
      <c r="G40" s="88" t="n">
        <f aca="false">(22900+22480+21970)/3</f>
        <v>22450</v>
      </c>
      <c r="H40" s="88" t="n">
        <f aca="false">(22600+23500+24100)/3</f>
        <v>23400</v>
      </c>
      <c r="I40" s="89" t="n">
        <f aca="false">(24800+26900+27600)/3</f>
        <v>26433.3333333333</v>
      </c>
      <c r="J40" s="89" t="n">
        <f aca="false">(28700+31500+32700)/3</f>
        <v>30966.6666666667</v>
      </c>
      <c r="K40" s="89" t="n">
        <f aca="false">(33400+34300+35000)/3</f>
        <v>34233.3333333333</v>
      </c>
      <c r="L40" s="89" t="n">
        <f aca="false">(36890+36940+35800)/3</f>
        <v>36543.3333333333</v>
      </c>
      <c r="M40" s="89" t="n">
        <v>38500</v>
      </c>
      <c r="N40" s="89" t="n">
        <v>41034</v>
      </c>
      <c r="O40" s="89" t="n">
        <v>43100</v>
      </c>
      <c r="P40" s="89" t="n">
        <v>45500</v>
      </c>
      <c r="Q40" s="89" t="n">
        <v>48849</v>
      </c>
      <c r="R40" s="74"/>
      <c r="S40" s="74"/>
      <c r="T40" s="74"/>
      <c r="U40" s="74"/>
      <c r="V40" s="74"/>
      <c r="W40" s="74"/>
      <c r="X40" s="74"/>
      <c r="Y40" s="74"/>
      <c r="Z40" s="74"/>
      <c r="AA40" s="74"/>
      <c r="AB40" s="74"/>
    </row>
    <row r="41" customFormat="false" ht="13" hidden="false" customHeight="false" outlineLevel="0" collapsed="false">
      <c r="R41" s="1"/>
      <c r="S41" s="1"/>
      <c r="T41" s="1"/>
      <c r="U41" s="1"/>
      <c r="V41" s="1"/>
      <c r="W41" s="1"/>
      <c r="X41" s="1"/>
      <c r="Y41" s="1"/>
      <c r="Z41" s="1"/>
      <c r="AA41" s="1"/>
      <c r="AB41" s="1"/>
    </row>
    <row r="42" customFormat="false" ht="14" hidden="false" customHeight="false" outlineLevel="0" collapsed="false">
      <c r="A42" s="90" t="s">
        <v>163</v>
      </c>
    </row>
    <row r="43" customFormat="false" ht="28" hidden="false" customHeight="false" outlineLevel="0" collapsed="false">
      <c r="A43" s="91" t="s">
        <v>164</v>
      </c>
      <c r="B43" s="92"/>
      <c r="C43" s="93" t="s">
        <v>165</v>
      </c>
      <c r="D43" s="94"/>
      <c r="E43" s="95" t="s">
        <v>166</v>
      </c>
      <c r="F43" s="94"/>
      <c r="G43" s="96"/>
      <c r="H43" s="96"/>
      <c r="I43" s="96"/>
      <c r="J43" s="96"/>
      <c r="K43" s="96"/>
      <c r="L43" s="97"/>
      <c r="M43" s="97"/>
      <c r="N43" s="97"/>
      <c r="O43" s="97"/>
      <c r="P43" s="97"/>
      <c r="Q43" s="97"/>
      <c r="R43" s="98"/>
      <c r="S43" s="98"/>
      <c r="T43" s="98"/>
      <c r="U43" s="98"/>
      <c r="V43" s="98"/>
      <c r="W43" s="98"/>
      <c r="X43" s="98"/>
      <c r="Y43" s="98"/>
      <c r="Z43" s="98"/>
      <c r="AA43" s="98"/>
      <c r="AB43" s="98"/>
    </row>
    <row r="44" customFormat="false" ht="28" hidden="false" customHeight="false" outlineLevel="0" collapsed="false">
      <c r="A44" s="99" t="s">
        <v>167</v>
      </c>
      <c r="B44" s="100"/>
      <c r="C44" s="101" t="s">
        <v>168</v>
      </c>
      <c r="D44" s="39"/>
      <c r="E44" s="102" t="s">
        <v>166</v>
      </c>
      <c r="F44" s="39"/>
      <c r="G44" s="50"/>
      <c r="H44" s="50"/>
      <c r="I44" s="50"/>
      <c r="J44" s="50"/>
      <c r="K44" s="50"/>
      <c r="L44" s="103"/>
      <c r="M44" s="103"/>
      <c r="N44" s="103"/>
      <c r="O44" s="103"/>
      <c r="P44" s="103"/>
      <c r="Q44" s="103"/>
      <c r="R44" s="104"/>
      <c r="S44" s="104"/>
      <c r="T44" s="104"/>
      <c r="U44" s="104"/>
      <c r="V44" s="104"/>
      <c r="W44" s="104"/>
      <c r="X44" s="104"/>
      <c r="Y44" s="104"/>
      <c r="Z44" s="104"/>
      <c r="AA44" s="104"/>
      <c r="AB44" s="104"/>
    </row>
    <row r="45" customFormat="false" ht="63.75" hidden="false" customHeight="true" outlineLevel="0" collapsed="false">
      <c r="A45" s="99" t="s">
        <v>169</v>
      </c>
      <c r="B45" s="100"/>
      <c r="C45" s="105" t="s">
        <v>170</v>
      </c>
      <c r="D45" s="39"/>
      <c r="E45" s="102" t="s">
        <v>166</v>
      </c>
      <c r="F45" s="39"/>
      <c r="G45" s="50"/>
      <c r="H45" s="50"/>
      <c r="I45" s="50"/>
      <c r="J45" s="50"/>
      <c r="K45" s="50"/>
      <c r="L45" s="103"/>
      <c r="M45" s="103"/>
      <c r="N45" s="103"/>
      <c r="O45" s="103"/>
      <c r="P45" s="103"/>
      <c r="Q45" s="103"/>
      <c r="R45" s="106"/>
      <c r="S45" s="106"/>
      <c r="T45" s="106"/>
      <c r="U45" s="106"/>
      <c r="V45" s="106"/>
      <c r="W45" s="106"/>
      <c r="X45" s="106"/>
      <c r="Y45" s="106"/>
      <c r="Z45" s="106"/>
      <c r="AA45" s="106"/>
      <c r="AB45" s="106"/>
    </row>
    <row r="46" s="116" customFormat="true" ht="84.75" hidden="false" customHeight="true" outlineLevel="0" collapsed="false">
      <c r="A46" s="107" t="s">
        <v>171</v>
      </c>
      <c r="B46" s="108"/>
      <c r="C46" s="109" t="s">
        <v>172</v>
      </c>
      <c r="D46" s="110"/>
      <c r="E46" s="111" t="s">
        <v>166</v>
      </c>
      <c r="F46" s="112" t="s">
        <v>98</v>
      </c>
      <c r="G46" s="113"/>
      <c r="H46" s="113"/>
      <c r="I46" s="114" t="n">
        <v>1</v>
      </c>
      <c r="J46" s="114" t="n">
        <v>1</v>
      </c>
      <c r="K46" s="114" t="n">
        <v>0.9999</v>
      </c>
      <c r="L46" s="114"/>
      <c r="M46" s="114" t="n">
        <v>1</v>
      </c>
      <c r="N46" s="114" t="n">
        <v>1</v>
      </c>
      <c r="O46" s="114" t="n">
        <v>1</v>
      </c>
      <c r="P46" s="114" t="n">
        <v>1</v>
      </c>
      <c r="Q46" s="114" t="n">
        <v>1</v>
      </c>
      <c r="R46" s="115" t="s">
        <v>173</v>
      </c>
      <c r="S46" s="115"/>
      <c r="T46" s="115"/>
      <c r="U46" s="115"/>
      <c r="V46" s="115" t="s">
        <v>174</v>
      </c>
      <c r="W46" s="115"/>
      <c r="X46" s="115"/>
      <c r="Y46" s="115"/>
      <c r="Z46" s="115"/>
      <c r="AA46" s="115"/>
      <c r="AB46" s="115"/>
    </row>
    <row r="47" s="116" customFormat="true" ht="54" hidden="false" customHeight="true" outlineLevel="0" collapsed="false">
      <c r="A47" s="117" t="s">
        <v>175</v>
      </c>
      <c r="B47" s="118"/>
      <c r="C47" s="119" t="s">
        <v>176</v>
      </c>
      <c r="D47" s="120"/>
      <c r="E47" s="121" t="s">
        <v>177</v>
      </c>
      <c r="F47" s="122" t="s">
        <v>98</v>
      </c>
      <c r="G47" s="123" t="n">
        <v>100</v>
      </c>
      <c r="H47" s="123" t="n">
        <v>99.96</v>
      </c>
      <c r="I47" s="123" t="n">
        <v>100</v>
      </c>
      <c r="J47" s="123" t="n">
        <v>100</v>
      </c>
      <c r="K47" s="123" t="n">
        <v>99</v>
      </c>
      <c r="L47" s="124" t="n">
        <v>100</v>
      </c>
      <c r="M47" s="124" t="n">
        <v>100</v>
      </c>
      <c r="N47" s="124" t="n">
        <v>100</v>
      </c>
      <c r="O47" s="124" t="n">
        <v>100</v>
      </c>
      <c r="P47" s="124" t="n">
        <v>100</v>
      </c>
      <c r="Q47" s="124" t="n">
        <v>100</v>
      </c>
      <c r="R47" s="125"/>
      <c r="S47" s="125"/>
      <c r="T47" s="125"/>
      <c r="U47" s="125"/>
      <c r="V47" s="125"/>
      <c r="W47" s="125"/>
      <c r="X47" s="125"/>
      <c r="Y47" s="125"/>
      <c r="Z47" s="125"/>
      <c r="AA47" s="125"/>
      <c r="AB47" s="125"/>
    </row>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G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8" topLeftCell="A9" activePane="bottomLeft" state="frozen"/>
      <selection pane="topLeft" activeCell="A1" activeCellId="0" sqref="A1"/>
      <selection pane="bottomLeft" activeCell="E24" activeCellId="0" sqref="E24"/>
    </sheetView>
  </sheetViews>
  <sheetFormatPr defaultRowHeight="13" zeroHeight="false" outlineLevelRow="0" outlineLevelCol="0"/>
  <cols>
    <col collapsed="false" customWidth="true" hidden="false" outlineLevel="0" max="1" min="1" style="0" width="13.5"/>
    <col collapsed="false" customWidth="true" hidden="false" outlineLevel="0" max="2" min="2" style="0" width="37.5"/>
    <col collapsed="false" customWidth="true" hidden="false" outlineLevel="0" max="3" min="3" style="0" width="19.66"/>
    <col collapsed="false" customWidth="true" hidden="false" outlineLevel="0" max="4" min="4" style="0" width="16.16"/>
    <col collapsed="false" customWidth="true" hidden="false" outlineLevel="0" max="5" min="5" style="0" width="13.01"/>
    <col collapsed="false" customWidth="true" hidden="false" outlineLevel="0" max="6" min="6" style="0" width="21.66"/>
    <col collapsed="false" customWidth="true" hidden="false" outlineLevel="0" max="7" min="7" style="0" width="62.99"/>
    <col collapsed="false" customWidth="true" hidden="false" outlineLevel="0" max="1025" min="8" style="0" width="8.83"/>
  </cols>
  <sheetData>
    <row r="2" customFormat="false" ht="13" hidden="false" customHeight="false" outlineLevel="0" collapsed="false">
      <c r="A2" s="126" t="s">
        <v>0</v>
      </c>
      <c r="B2" s="127"/>
      <c r="D2" s="128"/>
      <c r="E2" s="129" t="s">
        <v>178</v>
      </c>
      <c r="F2" s="130"/>
      <c r="G2" s="131" t="s">
        <v>179</v>
      </c>
    </row>
    <row r="3" customFormat="false" ht="13" hidden="false" customHeight="false" outlineLevel="0" collapsed="false">
      <c r="A3" s="132" t="s">
        <v>2</v>
      </c>
      <c r="B3" s="133" t="str">
        <f aca="false">Metrics!B3</f>
        <v>Tier-1</v>
      </c>
      <c r="D3" s="134"/>
      <c r="E3" s="135" t="s">
        <v>180</v>
      </c>
      <c r="F3" s="136"/>
      <c r="G3" s="0" t="s">
        <v>181</v>
      </c>
    </row>
    <row r="4" customFormat="false" ht="13" hidden="false" customHeight="false" outlineLevel="0" collapsed="false">
      <c r="A4" s="8" t="s">
        <v>5</v>
      </c>
      <c r="B4" s="9" t="str">
        <f aca="false">Metrics!B4</f>
        <v>Q3 19</v>
      </c>
      <c r="D4" s="137"/>
      <c r="E4" s="135" t="s">
        <v>182</v>
      </c>
      <c r="F4" s="138"/>
      <c r="G4" s="0" t="s">
        <v>183</v>
      </c>
    </row>
    <row r="5" customFormat="false" ht="13" hidden="false" customHeight="false" outlineLevel="0" collapsed="false">
      <c r="A5" s="15" t="s">
        <v>8</v>
      </c>
      <c r="B5" s="16" t="str">
        <f aca="false">Metrics!B5</f>
        <v>Darren Moore</v>
      </c>
      <c r="D5" s="19"/>
      <c r="E5" s="139" t="s">
        <v>11</v>
      </c>
      <c r="F5" s="140"/>
      <c r="G5" s="0" t="s">
        <v>184</v>
      </c>
    </row>
    <row r="6" customFormat="false" ht="13" hidden="false" customHeight="false" outlineLevel="0" collapsed="false">
      <c r="A6" s="141" t="s">
        <v>185</v>
      </c>
    </row>
    <row r="8" customFormat="false" ht="20" hidden="false" customHeight="true" outlineLevel="0" collapsed="false">
      <c r="A8" s="21" t="s">
        <v>186</v>
      </c>
      <c r="B8" s="21" t="s">
        <v>14</v>
      </c>
      <c r="C8" s="21" t="s">
        <v>16</v>
      </c>
      <c r="D8" s="21" t="s">
        <v>187</v>
      </c>
      <c r="E8" s="21" t="s">
        <v>188</v>
      </c>
      <c r="F8" s="21" t="s">
        <v>189</v>
      </c>
      <c r="G8" s="21" t="s">
        <v>190</v>
      </c>
    </row>
    <row r="9" customFormat="false" ht="28" hidden="false" customHeight="false" outlineLevel="0" collapsed="false">
      <c r="A9" s="142" t="s">
        <v>191</v>
      </c>
      <c r="B9" s="143" t="s">
        <v>192</v>
      </c>
      <c r="C9" s="144" t="s">
        <v>61</v>
      </c>
      <c r="D9" s="145" t="n">
        <v>42522</v>
      </c>
      <c r="E9" s="146"/>
      <c r="F9" s="146"/>
      <c r="G9" s="146" t="s">
        <v>193</v>
      </c>
    </row>
    <row r="10" customFormat="false" ht="14" hidden="false" customHeight="false" outlineLevel="0" collapsed="false">
      <c r="A10" s="142" t="s">
        <v>194</v>
      </c>
      <c r="B10" s="144" t="s">
        <v>195</v>
      </c>
      <c r="C10" s="144" t="s">
        <v>61</v>
      </c>
      <c r="D10" s="145" t="n">
        <v>42675</v>
      </c>
      <c r="E10" s="147" t="n">
        <v>42767</v>
      </c>
      <c r="F10" s="146"/>
      <c r="G10" s="146" t="s">
        <v>196</v>
      </c>
    </row>
    <row r="11" customFormat="false" ht="14" hidden="false" customHeight="false" outlineLevel="0" collapsed="false">
      <c r="A11" s="142" t="s">
        <v>197</v>
      </c>
      <c r="B11" s="144" t="s">
        <v>198</v>
      </c>
      <c r="C11" s="144" t="s">
        <v>61</v>
      </c>
      <c r="D11" s="145" t="n">
        <v>42826</v>
      </c>
      <c r="E11" s="146"/>
      <c r="F11" s="146"/>
      <c r="G11" s="146" t="s">
        <v>199</v>
      </c>
    </row>
    <row r="12" customFormat="false" ht="14" hidden="false" customHeight="false" outlineLevel="0" collapsed="false">
      <c r="A12" s="142" t="s">
        <v>200</v>
      </c>
      <c r="B12" s="144" t="s">
        <v>201</v>
      </c>
      <c r="C12" s="144" t="s">
        <v>202</v>
      </c>
      <c r="D12" s="145" t="n">
        <v>42856</v>
      </c>
      <c r="E12" s="146"/>
      <c r="F12" s="146"/>
      <c r="G12" s="148" t="s">
        <v>203</v>
      </c>
    </row>
    <row r="13" customFormat="false" ht="14" hidden="false" customHeight="false" outlineLevel="0" collapsed="false">
      <c r="A13" s="142" t="s">
        <v>204</v>
      </c>
      <c r="B13" s="144" t="s">
        <v>192</v>
      </c>
      <c r="C13" s="144" t="s">
        <v>202</v>
      </c>
      <c r="D13" s="145" t="n">
        <v>42887</v>
      </c>
      <c r="E13" s="146"/>
      <c r="F13" s="146"/>
      <c r="G13" s="146" t="s">
        <v>205</v>
      </c>
    </row>
    <row r="14" customFormat="false" ht="28" hidden="false" customHeight="false" outlineLevel="0" collapsed="false">
      <c r="A14" s="142" t="s">
        <v>206</v>
      </c>
      <c r="B14" s="144" t="s">
        <v>207</v>
      </c>
      <c r="C14" s="144" t="s">
        <v>202</v>
      </c>
      <c r="D14" s="145" t="n">
        <v>43040</v>
      </c>
      <c r="E14" s="149"/>
      <c r="F14" s="146"/>
      <c r="G14" s="146" t="s">
        <v>208</v>
      </c>
    </row>
    <row r="15" customFormat="false" ht="14" hidden="false" customHeight="false" outlineLevel="0" collapsed="false">
      <c r="A15" s="142" t="s">
        <v>209</v>
      </c>
      <c r="B15" s="144" t="s">
        <v>210</v>
      </c>
      <c r="C15" s="144" t="s">
        <v>202</v>
      </c>
      <c r="D15" s="145" t="n">
        <v>43191</v>
      </c>
      <c r="E15" s="147" t="n">
        <v>43344</v>
      </c>
      <c r="F15" s="146"/>
      <c r="G15" s="146" t="s">
        <v>211</v>
      </c>
    </row>
    <row r="16" customFormat="false" ht="14" hidden="false" customHeight="false" outlineLevel="0" collapsed="false">
      <c r="A16" s="142" t="s">
        <v>212</v>
      </c>
      <c r="B16" s="144" t="s">
        <v>201</v>
      </c>
      <c r="C16" s="144" t="s">
        <v>202</v>
      </c>
      <c r="D16" s="145" t="n">
        <v>43221</v>
      </c>
      <c r="E16" s="147" t="n">
        <v>43344</v>
      </c>
      <c r="F16" s="146"/>
      <c r="G16" s="146" t="s">
        <v>213</v>
      </c>
    </row>
    <row r="17" customFormat="false" ht="28" hidden="false" customHeight="false" outlineLevel="0" collapsed="false">
      <c r="A17" s="142" t="s">
        <v>214</v>
      </c>
      <c r="B17" s="143" t="s">
        <v>192</v>
      </c>
      <c r="C17" s="144" t="s">
        <v>202</v>
      </c>
      <c r="D17" s="145" t="n">
        <v>43252</v>
      </c>
      <c r="E17" s="147" t="n">
        <v>43313</v>
      </c>
      <c r="F17" s="146"/>
      <c r="G17" s="146" t="s">
        <v>215</v>
      </c>
    </row>
    <row r="18" customFormat="false" ht="14" hidden="false" customHeight="false" outlineLevel="0" collapsed="false">
      <c r="A18" s="142" t="s">
        <v>216</v>
      </c>
      <c r="B18" s="144" t="s">
        <v>217</v>
      </c>
      <c r="C18" s="144" t="s">
        <v>202</v>
      </c>
      <c r="D18" s="145" t="n">
        <v>43405</v>
      </c>
      <c r="E18" s="147" t="n">
        <v>43435</v>
      </c>
      <c r="F18" s="146"/>
      <c r="G18" s="146" t="s">
        <v>218</v>
      </c>
    </row>
    <row r="19" customFormat="false" ht="28" hidden="false" customHeight="false" outlineLevel="0" collapsed="false">
      <c r="A19" s="142" t="s">
        <v>219</v>
      </c>
      <c r="B19" s="144" t="s">
        <v>220</v>
      </c>
      <c r="C19" s="144" t="s">
        <v>202</v>
      </c>
      <c r="D19" s="145" t="n">
        <v>43556</v>
      </c>
      <c r="E19" s="147" t="n">
        <v>43525</v>
      </c>
      <c r="F19" s="146"/>
      <c r="G19" s="146" t="s">
        <v>221</v>
      </c>
    </row>
    <row r="20" customFormat="false" ht="32.25" hidden="false" customHeight="true" outlineLevel="0" collapsed="false">
      <c r="A20" s="142" t="s">
        <v>222</v>
      </c>
      <c r="B20" s="144" t="s">
        <v>201</v>
      </c>
      <c r="C20" s="144" t="s">
        <v>202</v>
      </c>
      <c r="D20" s="145" t="n">
        <v>43586</v>
      </c>
      <c r="E20" s="147" t="n">
        <v>43525</v>
      </c>
      <c r="F20" s="146"/>
      <c r="G20" s="146" t="s">
        <v>223</v>
      </c>
    </row>
    <row r="21" customFormat="false" ht="14" hidden="false" customHeight="false" outlineLevel="0" collapsed="false">
      <c r="A21" s="142" t="s">
        <v>224</v>
      </c>
      <c r="B21" s="143" t="s">
        <v>192</v>
      </c>
      <c r="C21" s="144" t="s">
        <v>202</v>
      </c>
      <c r="D21" s="145" t="n">
        <v>43617</v>
      </c>
      <c r="E21" s="147" t="n">
        <v>43617</v>
      </c>
      <c r="F21" s="146"/>
      <c r="G21" s="146" t="s">
        <v>225</v>
      </c>
    </row>
    <row r="22" customFormat="false" ht="42.75" hidden="false" customHeight="true" outlineLevel="0" collapsed="false">
      <c r="A22" s="142" t="s">
        <v>226</v>
      </c>
      <c r="B22" s="144" t="s">
        <v>227</v>
      </c>
      <c r="C22" s="144" t="s">
        <v>202</v>
      </c>
      <c r="D22" s="145" t="n">
        <v>43770</v>
      </c>
      <c r="E22" s="147" t="n">
        <v>43770</v>
      </c>
      <c r="F22" s="146"/>
      <c r="G22" s="146" t="s">
        <v>228</v>
      </c>
    </row>
    <row r="23" customFormat="false" ht="42.75" hidden="false" customHeight="true" outlineLevel="0" collapsed="false">
      <c r="A23" s="150" t="s">
        <v>229</v>
      </c>
      <c r="B23" s="151" t="s">
        <v>230</v>
      </c>
      <c r="C23" s="144" t="s">
        <v>202</v>
      </c>
      <c r="D23" s="152" t="n">
        <v>43922</v>
      </c>
      <c r="E23" s="75"/>
      <c r="F23" s="75"/>
      <c r="G23" s="75"/>
    </row>
    <row r="24" customFormat="false" ht="128.25" hidden="false" customHeight="true" outlineLevel="0" collapsed="false">
      <c r="A24" s="150" t="s">
        <v>231</v>
      </c>
      <c r="B24" s="151" t="s">
        <v>201</v>
      </c>
      <c r="C24" s="144" t="s">
        <v>202</v>
      </c>
      <c r="D24" s="152" t="n">
        <v>43952</v>
      </c>
      <c r="E24" s="75"/>
      <c r="F24" s="75"/>
      <c r="G24" s="75"/>
    </row>
    <row r="25" customFormat="false" ht="48.75" hidden="false" customHeight="true" outlineLevel="0" collapsed="false"/>
    <row r="29" customFormat="false" ht="49.5" hidden="false" customHeight="true" outlineLevel="0" collapsed="false"/>
    <row r="30" customFormat="false" ht="3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R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53"/>
      <c r="B1" s="153"/>
      <c r="C1" s="153"/>
      <c r="D1" s="153"/>
      <c r="E1" s="153"/>
      <c r="F1" s="153"/>
      <c r="G1" s="153"/>
      <c r="H1" s="153"/>
      <c r="I1" s="153"/>
      <c r="J1" s="153"/>
      <c r="K1" s="153"/>
    </row>
    <row r="2" customFormat="false" ht="16" hidden="false" customHeight="false" outlineLevel="0" collapsed="false">
      <c r="A2" s="154" t="s">
        <v>0</v>
      </c>
      <c r="B2" s="155"/>
      <c r="E2" s="153"/>
      <c r="F2" s="153"/>
      <c r="G2" s="153"/>
      <c r="H2" s="153"/>
      <c r="I2" s="153"/>
    </row>
    <row r="3" customFormat="false" ht="16" hidden="false" customHeight="false" outlineLevel="0" collapsed="false">
      <c r="A3" s="156" t="s">
        <v>2</v>
      </c>
      <c r="B3" s="157" t="s">
        <v>3</v>
      </c>
      <c r="E3" s="153"/>
      <c r="F3" s="153"/>
      <c r="G3" s="153"/>
      <c r="H3" s="153"/>
      <c r="I3" s="153"/>
    </row>
    <row r="4" customFormat="false" ht="16" hidden="false" customHeight="false" outlineLevel="0" collapsed="false">
      <c r="A4" s="158" t="s">
        <v>5</v>
      </c>
      <c r="B4" s="9" t="str">
        <f aca="false">Metrics!B4</f>
        <v>Q3 19</v>
      </c>
      <c r="E4" s="153"/>
      <c r="F4" s="153"/>
      <c r="G4" s="153"/>
      <c r="H4" s="153"/>
      <c r="I4" s="153"/>
    </row>
    <row r="5" customFormat="false" ht="16" hidden="false" customHeight="false" outlineLevel="0" collapsed="false">
      <c r="A5" s="159" t="s">
        <v>8</v>
      </c>
      <c r="B5" s="160" t="s">
        <v>202</v>
      </c>
      <c r="E5" s="153"/>
      <c r="F5" s="153"/>
      <c r="G5" s="153"/>
      <c r="H5" s="153"/>
      <c r="I5" s="153"/>
    </row>
    <row r="6" customFormat="false" ht="16" hidden="false" customHeight="false" outlineLevel="0" collapsed="false">
      <c r="A6" s="153"/>
      <c r="B6" s="153"/>
      <c r="C6" s="153"/>
      <c r="D6" s="153"/>
      <c r="E6" s="153"/>
      <c r="F6" s="153"/>
      <c r="G6" s="153"/>
      <c r="H6" s="153"/>
      <c r="I6" s="153"/>
    </row>
    <row r="7" customFormat="false" ht="16" hidden="false" customHeight="false" outlineLevel="0" collapsed="false">
      <c r="A7" s="161" t="s">
        <v>232</v>
      </c>
      <c r="B7" s="161"/>
      <c r="C7" s="161"/>
      <c r="D7" s="153"/>
      <c r="E7" s="153"/>
      <c r="F7" s="153"/>
      <c r="G7" s="153"/>
      <c r="H7" s="153"/>
      <c r="I7" s="153"/>
    </row>
    <row r="8" customFormat="false" ht="13.5" hidden="false" customHeight="true" outlineLevel="0" collapsed="false">
      <c r="A8" s="162"/>
      <c r="B8" s="163"/>
      <c r="C8" s="164"/>
      <c r="D8" s="165" t="s">
        <v>233</v>
      </c>
      <c r="E8" s="165"/>
      <c r="F8" s="165"/>
      <c r="G8" s="166" t="s">
        <v>234</v>
      </c>
      <c r="H8" s="166"/>
      <c r="I8" s="166"/>
    </row>
    <row r="9" customFormat="false" ht="34" hidden="false" customHeight="false" outlineLevel="0" collapsed="false">
      <c r="A9" s="167" t="s">
        <v>235</v>
      </c>
      <c r="B9" s="168" t="s">
        <v>236</v>
      </c>
      <c r="C9" s="168" t="s">
        <v>237</v>
      </c>
      <c r="D9" s="169" t="s">
        <v>238</v>
      </c>
      <c r="E9" s="170" t="s">
        <v>239</v>
      </c>
      <c r="F9" s="171" t="s">
        <v>240</v>
      </c>
      <c r="G9" s="172" t="s">
        <v>238</v>
      </c>
      <c r="H9" s="170" t="s">
        <v>239</v>
      </c>
      <c r="I9" s="173" t="s">
        <v>240</v>
      </c>
    </row>
    <row r="10" customFormat="false" ht="51" hidden="false" customHeight="false" outlineLevel="0" collapsed="false">
      <c r="A10" s="174" t="s">
        <v>3</v>
      </c>
      <c r="B10" s="175" t="s">
        <v>241</v>
      </c>
      <c r="C10" s="176" t="s">
        <v>242</v>
      </c>
      <c r="D10" s="177" t="n">
        <v>4.7</v>
      </c>
      <c r="E10" s="177"/>
      <c r="F10" s="177"/>
      <c r="G10" s="178"/>
      <c r="H10" s="179"/>
      <c r="I10" s="180"/>
      <c r="J10" s="131"/>
      <c r="K10" s="1"/>
      <c r="L10" s="181"/>
      <c r="M10" s="181"/>
    </row>
    <row r="11" customFormat="false" ht="34" hidden="false" customHeight="false" outlineLevel="0" collapsed="false">
      <c r="A11" s="182" t="s">
        <v>3</v>
      </c>
      <c r="B11" s="183" t="s">
        <v>243</v>
      </c>
      <c r="C11" s="184" t="s">
        <v>244</v>
      </c>
      <c r="D11" s="177" t="n">
        <v>2.6</v>
      </c>
      <c r="E11" s="177"/>
      <c r="F11" s="177"/>
      <c r="G11" s="185"/>
      <c r="H11" s="185"/>
      <c r="I11" s="185"/>
      <c r="J11" s="131"/>
      <c r="L11" s="181"/>
      <c r="M11" s="181"/>
    </row>
    <row r="12" customFormat="false" ht="51" hidden="false" customHeight="false" outlineLevel="0" collapsed="false">
      <c r="A12" s="182" t="s">
        <v>3</v>
      </c>
      <c r="B12" s="183" t="s">
        <v>245</v>
      </c>
      <c r="C12" s="184" t="s">
        <v>246</v>
      </c>
      <c r="D12" s="177" t="n">
        <v>3.1</v>
      </c>
      <c r="E12" s="177"/>
      <c r="F12" s="177"/>
      <c r="G12" s="186"/>
      <c r="H12" s="186"/>
      <c r="I12" s="186"/>
      <c r="J12" s="187"/>
      <c r="L12" s="181"/>
      <c r="M12" s="181"/>
      <c r="R12" s="181"/>
    </row>
    <row r="13" customFormat="false" ht="34" hidden="false" customHeight="false" outlineLevel="0" collapsed="false">
      <c r="A13" s="182" t="s">
        <v>3</v>
      </c>
      <c r="B13" s="183" t="s">
        <v>247</v>
      </c>
      <c r="C13" s="184" t="s">
        <v>248</v>
      </c>
      <c r="D13" s="177" t="n">
        <v>1</v>
      </c>
      <c r="E13" s="177"/>
      <c r="F13" s="177"/>
      <c r="G13" s="186"/>
      <c r="H13" s="188"/>
      <c r="I13" s="189"/>
      <c r="J13" s="190"/>
      <c r="L13" s="181"/>
      <c r="M13" s="181"/>
    </row>
    <row r="14" customFormat="false" ht="17" hidden="false" customHeight="false" outlineLevel="0" collapsed="false">
      <c r="A14" s="182" t="s">
        <v>3</v>
      </c>
      <c r="B14" s="183" t="s">
        <v>249</v>
      </c>
      <c r="C14" s="184" t="s">
        <v>250</v>
      </c>
      <c r="D14" s="177" t="n">
        <v>1</v>
      </c>
      <c r="E14" s="177"/>
      <c r="F14" s="177"/>
      <c r="G14" s="186"/>
      <c r="H14" s="186"/>
      <c r="I14" s="186"/>
      <c r="J14" s="190"/>
      <c r="L14" s="181"/>
      <c r="M14" s="181"/>
    </row>
    <row r="15" customFormat="false" ht="17" hidden="false" customHeight="false" outlineLevel="0" collapsed="false">
      <c r="A15" s="182" t="s">
        <v>3</v>
      </c>
      <c r="B15" s="183" t="s">
        <v>251</v>
      </c>
      <c r="C15" s="184" t="s">
        <v>252</v>
      </c>
      <c r="D15" s="177" t="n">
        <v>1.7</v>
      </c>
      <c r="E15" s="177"/>
      <c r="F15" s="177"/>
      <c r="G15" s="191"/>
      <c r="H15" s="191"/>
      <c r="I15" s="191"/>
      <c r="J15" s="190"/>
      <c r="L15" s="181"/>
      <c r="M15" s="181"/>
    </row>
    <row r="16" customFormat="false" ht="16" hidden="false" customHeight="false" outlineLevel="0" collapsed="false">
      <c r="A16" s="192" t="s">
        <v>253</v>
      </c>
      <c r="B16" s="193"/>
      <c r="C16" s="193"/>
      <c r="D16" s="177" t="n">
        <f aca="false">SUM(D10:F15)</f>
        <v>14.1</v>
      </c>
      <c r="E16" s="177"/>
      <c r="F16" s="177"/>
      <c r="G16" s="194" t="n">
        <f aca="false">SUM(G10:G15)</f>
        <v>0</v>
      </c>
      <c r="H16" s="195" t="n">
        <f aca="false">SUM(H10:H15)</f>
        <v>0</v>
      </c>
      <c r="I16" s="195" t="n">
        <f aca="false">SUM(I10:I15)</f>
        <v>0</v>
      </c>
      <c r="N16" s="181"/>
    </row>
    <row r="17" customFormat="false" ht="16" hidden="false" customHeight="false" outlineLevel="0" collapsed="false">
      <c r="A17" s="153"/>
      <c r="B17" s="153"/>
      <c r="C17" s="153"/>
      <c r="D17" s="153"/>
      <c r="E17" s="153"/>
      <c r="F17" s="196"/>
      <c r="G17" s="153"/>
      <c r="H17" s="153"/>
      <c r="I17" s="153"/>
      <c r="J17" s="153"/>
      <c r="K17" s="153"/>
    </row>
    <row r="18" customFormat="false" ht="16" hidden="false" customHeight="false" outlineLevel="0" collapsed="false">
      <c r="A18" s="153"/>
      <c r="B18" s="153"/>
      <c r="C18" s="153"/>
      <c r="D18" s="153"/>
      <c r="E18" s="153"/>
      <c r="F18" s="153"/>
      <c r="G18" s="153"/>
      <c r="H18" s="196"/>
      <c r="I18" s="153"/>
      <c r="J18" s="153"/>
      <c r="K18" s="153"/>
    </row>
    <row r="19" customFormat="false" ht="13.5" hidden="false" customHeight="true" outlineLevel="0" collapsed="false">
      <c r="A19" s="162"/>
      <c r="B19" s="163"/>
      <c r="C19" s="164"/>
      <c r="D19" s="165" t="s">
        <v>233</v>
      </c>
      <c r="E19" s="165"/>
      <c r="F19" s="165"/>
      <c r="G19" s="166" t="s">
        <v>234</v>
      </c>
      <c r="H19" s="166"/>
      <c r="I19" s="166"/>
    </row>
    <row r="20" customFormat="false" ht="34" hidden="false" customHeight="false" outlineLevel="0" collapsed="false">
      <c r="A20" s="167" t="s">
        <v>235</v>
      </c>
      <c r="B20" s="168" t="s">
        <v>236</v>
      </c>
      <c r="C20" s="168" t="s">
        <v>237</v>
      </c>
      <c r="D20" s="169" t="s">
        <v>238</v>
      </c>
      <c r="E20" s="170" t="s">
        <v>239</v>
      </c>
      <c r="F20" s="171" t="s">
        <v>240</v>
      </c>
      <c r="G20" s="172" t="s">
        <v>238</v>
      </c>
      <c r="H20" s="170" t="s">
        <v>239</v>
      </c>
      <c r="I20" s="173" t="s">
        <v>240</v>
      </c>
    </row>
    <row r="21" customFormat="false" ht="34" hidden="false" customHeight="false" outlineLevel="0" collapsed="false">
      <c r="A21" s="174" t="s">
        <v>3</v>
      </c>
      <c r="B21" s="175" t="s">
        <v>254</v>
      </c>
      <c r="C21" s="197" t="s">
        <v>255</v>
      </c>
      <c r="D21" s="198" t="n">
        <v>0.75</v>
      </c>
      <c r="E21" s="198" t="n">
        <v>0.75</v>
      </c>
      <c r="F21" s="198" t="n">
        <v>0.75</v>
      </c>
      <c r="G21" s="178"/>
      <c r="H21" s="179"/>
      <c r="I21" s="180"/>
      <c r="J21" s="131"/>
      <c r="K21" s="1"/>
      <c r="L21" s="181"/>
      <c r="M21" s="181"/>
    </row>
    <row r="22" customFormat="false" ht="16" hidden="false" customHeight="false" outlineLevel="0" collapsed="false">
      <c r="A22" s="192" t="s">
        <v>253</v>
      </c>
      <c r="B22" s="193"/>
      <c r="C22" s="199"/>
      <c r="D22" s="195" t="n">
        <f aca="false">SUM(D21:D21)</f>
        <v>0.75</v>
      </c>
      <c r="E22" s="195" t="n">
        <f aca="false">SUM(E21:E21)</f>
        <v>0.75</v>
      </c>
      <c r="F22" s="195" t="n">
        <f aca="false">SUM(F21:F21)</f>
        <v>0.75</v>
      </c>
      <c r="G22" s="195" t="n">
        <f aca="false">SUM(G21:G21)</f>
        <v>0</v>
      </c>
      <c r="H22" s="195" t="n">
        <f aca="false">SUM(H21:H21)</f>
        <v>0</v>
      </c>
      <c r="I22" s="195" t="n">
        <f aca="false">SUM(I21:I21)</f>
        <v>0</v>
      </c>
    </row>
    <row r="23" customFormat="false" ht="16" hidden="false" customHeight="false" outlineLevel="0" collapsed="false">
      <c r="A23" s="153"/>
      <c r="B23" s="153"/>
      <c r="C23" s="153"/>
      <c r="D23" s="153"/>
      <c r="E23" s="153"/>
      <c r="F23" s="153"/>
      <c r="G23" s="153"/>
      <c r="H23" s="153"/>
      <c r="I23" s="153"/>
      <c r="J23" s="153"/>
      <c r="K23" s="153"/>
    </row>
    <row r="24" customFormat="false" ht="16" hidden="false" customHeight="false" outlineLevel="0" collapsed="false">
      <c r="A24" s="153"/>
      <c r="B24" s="153"/>
      <c r="C24" s="153"/>
      <c r="D24" s="153"/>
      <c r="E24" s="153"/>
      <c r="F24" s="153"/>
      <c r="G24" s="153"/>
      <c r="H24" s="153"/>
      <c r="I24" s="153"/>
      <c r="J24" s="153"/>
      <c r="K24" s="153"/>
    </row>
    <row r="25" customFormat="false" ht="16" hidden="false" customHeight="false" outlineLevel="0" collapsed="false">
      <c r="A25" s="153"/>
      <c r="B25" s="153"/>
      <c r="C25" s="153"/>
      <c r="D25" s="153"/>
      <c r="E25" s="153"/>
      <c r="F25" s="153"/>
      <c r="G25" s="153"/>
      <c r="H25" s="153"/>
      <c r="I25" s="153"/>
      <c r="J25" s="153"/>
      <c r="K25" s="153"/>
    </row>
    <row r="26" customFormat="false" ht="16" hidden="false" customHeight="false" outlineLevel="0" collapsed="false">
      <c r="A26" s="200"/>
      <c r="B26" s="153"/>
      <c r="C26" s="153"/>
      <c r="D26" s="153"/>
      <c r="E26" s="153"/>
      <c r="F26" s="153"/>
      <c r="G26" s="153"/>
      <c r="H26" s="153"/>
      <c r="I26" s="153"/>
      <c r="J26" s="153"/>
      <c r="K26" s="153"/>
      <c r="N26" s="181"/>
    </row>
    <row r="27" customFormat="false" ht="16" hidden="false" customHeight="false" outlineLevel="0" collapsed="false">
      <c r="A27" s="153" t="s">
        <v>256</v>
      </c>
      <c r="B27" s="153"/>
      <c r="C27" s="153"/>
      <c r="D27" s="153"/>
      <c r="E27" s="153"/>
      <c r="F27" s="153"/>
      <c r="G27" s="153"/>
      <c r="H27" s="153"/>
      <c r="I27" s="153"/>
      <c r="J27" s="153"/>
      <c r="K27" s="153"/>
    </row>
    <row r="28" customFormat="false" ht="16" hidden="false" customHeight="false" outlineLevel="0" collapsed="false">
      <c r="A28" s="153" t="s">
        <v>257</v>
      </c>
      <c r="B28" s="153"/>
      <c r="C28" s="153"/>
      <c r="D28" s="153"/>
      <c r="E28" s="153"/>
      <c r="F28" s="153"/>
      <c r="G28" s="153"/>
      <c r="H28" s="153"/>
      <c r="I28" s="153"/>
      <c r="J28" s="153"/>
      <c r="K28" s="153"/>
    </row>
  </sheetData>
  <mergeCells count="11">
    <mergeCell ref="D8:F8"/>
    <mergeCell ref="G8:I8"/>
    <mergeCell ref="D10:F10"/>
    <mergeCell ref="D11:F11"/>
    <mergeCell ref="D12:F12"/>
    <mergeCell ref="D13:F13"/>
    <mergeCell ref="D14:F14"/>
    <mergeCell ref="D15:F15"/>
    <mergeCell ref="D16:F16"/>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R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2" activeCellId="0" sqref="D12"/>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53"/>
      <c r="B1" s="153"/>
      <c r="C1" s="153"/>
      <c r="D1" s="153"/>
      <c r="E1" s="153"/>
      <c r="F1" s="153"/>
      <c r="G1" s="153"/>
      <c r="H1" s="153"/>
      <c r="I1" s="153"/>
      <c r="J1" s="153"/>
      <c r="K1" s="153"/>
    </row>
    <row r="2" customFormat="false" ht="16" hidden="false" customHeight="false" outlineLevel="0" collapsed="false">
      <c r="A2" s="154" t="s">
        <v>0</v>
      </c>
      <c r="B2" s="155"/>
      <c r="E2" s="153"/>
      <c r="F2" s="153"/>
      <c r="G2" s="153"/>
      <c r="H2" s="153"/>
      <c r="I2" s="153"/>
    </row>
    <row r="3" customFormat="false" ht="16" hidden="false" customHeight="false" outlineLevel="0" collapsed="false">
      <c r="A3" s="156" t="s">
        <v>2</v>
      </c>
      <c r="B3" s="157" t="s">
        <v>3</v>
      </c>
      <c r="E3" s="153"/>
      <c r="F3" s="153"/>
      <c r="G3" s="153"/>
      <c r="H3" s="153"/>
      <c r="I3" s="153"/>
    </row>
    <row r="4" customFormat="false" ht="16" hidden="false" customHeight="false" outlineLevel="0" collapsed="false">
      <c r="A4" s="158" t="s">
        <v>5</v>
      </c>
      <c r="B4" s="9" t="str">
        <f aca="false">Metrics!B4</f>
        <v>Q3 19</v>
      </c>
      <c r="E4" s="153"/>
      <c r="F4" s="153"/>
      <c r="G4" s="153"/>
      <c r="H4" s="153"/>
      <c r="I4" s="153"/>
    </row>
    <row r="5" customFormat="false" ht="16" hidden="false" customHeight="false" outlineLevel="0" collapsed="false">
      <c r="A5" s="159" t="s">
        <v>8</v>
      </c>
      <c r="B5" s="160" t="s">
        <v>202</v>
      </c>
      <c r="E5" s="153"/>
      <c r="F5" s="153"/>
      <c r="G5" s="153"/>
      <c r="H5" s="153"/>
      <c r="I5" s="153"/>
    </row>
    <row r="6" customFormat="false" ht="16" hidden="false" customHeight="false" outlineLevel="0" collapsed="false">
      <c r="A6" s="153"/>
      <c r="B6" s="153"/>
      <c r="C6" s="153"/>
      <c r="D6" s="153"/>
      <c r="E6" s="153"/>
      <c r="F6" s="153"/>
      <c r="G6" s="153"/>
      <c r="H6" s="153"/>
      <c r="I6" s="153"/>
    </row>
    <row r="7" customFormat="false" ht="16" hidden="false" customHeight="false" outlineLevel="0" collapsed="false">
      <c r="A7" s="161" t="s">
        <v>232</v>
      </c>
      <c r="B7" s="161"/>
      <c r="C7" s="161"/>
      <c r="D7" s="153"/>
      <c r="E7" s="153"/>
      <c r="F7" s="153"/>
      <c r="G7" s="153"/>
      <c r="H7" s="153"/>
      <c r="I7" s="153"/>
    </row>
    <row r="8" customFormat="false" ht="13.5" hidden="false" customHeight="true" outlineLevel="0" collapsed="false">
      <c r="A8" s="162"/>
      <c r="B8" s="163"/>
      <c r="C8" s="164"/>
      <c r="D8" s="165" t="s">
        <v>233</v>
      </c>
      <c r="E8" s="165"/>
      <c r="F8" s="165"/>
      <c r="G8" s="166" t="s">
        <v>234</v>
      </c>
      <c r="H8" s="166"/>
      <c r="I8" s="166"/>
    </row>
    <row r="9" customFormat="false" ht="34" hidden="false" customHeight="false" outlineLevel="0" collapsed="false">
      <c r="A9" s="167" t="s">
        <v>235</v>
      </c>
      <c r="B9" s="168" t="s">
        <v>236</v>
      </c>
      <c r="C9" s="168" t="s">
        <v>237</v>
      </c>
      <c r="D9" s="169" t="s">
        <v>238</v>
      </c>
      <c r="E9" s="170" t="s">
        <v>239</v>
      </c>
      <c r="F9" s="171" t="s">
        <v>240</v>
      </c>
      <c r="G9" s="172" t="s">
        <v>238</v>
      </c>
      <c r="H9" s="170" t="s">
        <v>239</v>
      </c>
      <c r="I9" s="173" t="s">
        <v>240</v>
      </c>
    </row>
    <row r="10" customFormat="false" ht="68" hidden="false" customHeight="false" outlineLevel="0" collapsed="false">
      <c r="A10" s="174" t="s">
        <v>3</v>
      </c>
      <c r="B10" s="175" t="s">
        <v>241</v>
      </c>
      <c r="C10" s="176" t="s">
        <v>258</v>
      </c>
      <c r="D10" s="177" t="n">
        <v>4.71</v>
      </c>
      <c r="E10" s="177"/>
      <c r="F10" s="177"/>
      <c r="G10" s="178"/>
      <c r="H10" s="179"/>
      <c r="I10" s="180"/>
      <c r="J10" s="131"/>
      <c r="K10" s="1"/>
      <c r="L10" s="181"/>
      <c r="M10" s="181"/>
    </row>
    <row r="11" customFormat="false" ht="34" hidden="false" customHeight="false" outlineLevel="0" collapsed="false">
      <c r="A11" s="182" t="s">
        <v>3</v>
      </c>
      <c r="B11" s="183" t="s">
        <v>243</v>
      </c>
      <c r="C11" s="184" t="s">
        <v>244</v>
      </c>
      <c r="D11" s="177" t="n">
        <v>2.3</v>
      </c>
      <c r="E11" s="177"/>
      <c r="F11" s="177"/>
      <c r="G11" s="185"/>
      <c r="H11" s="185"/>
      <c r="I11" s="185"/>
      <c r="J11" s="131"/>
      <c r="L11" s="181"/>
      <c r="M11" s="181"/>
    </row>
    <row r="12" customFormat="false" ht="34" hidden="false" customHeight="false" outlineLevel="0" collapsed="false">
      <c r="A12" s="182" t="s">
        <v>3</v>
      </c>
      <c r="B12" s="183" t="s">
        <v>245</v>
      </c>
      <c r="C12" s="184" t="s">
        <v>259</v>
      </c>
      <c r="D12" s="177" t="n">
        <v>3.1</v>
      </c>
      <c r="E12" s="177"/>
      <c r="F12" s="177"/>
      <c r="G12" s="186"/>
      <c r="H12" s="186"/>
      <c r="I12" s="186"/>
      <c r="J12" s="187"/>
      <c r="L12" s="181"/>
      <c r="M12" s="181"/>
      <c r="R12" s="181"/>
    </row>
    <row r="13" customFormat="false" ht="34" hidden="false" customHeight="false" outlineLevel="0" collapsed="false">
      <c r="A13" s="182" t="s">
        <v>3</v>
      </c>
      <c r="B13" s="183" t="s">
        <v>247</v>
      </c>
      <c r="C13" s="184" t="s">
        <v>248</v>
      </c>
      <c r="D13" s="177" t="n">
        <v>1</v>
      </c>
      <c r="E13" s="177"/>
      <c r="F13" s="177"/>
      <c r="G13" s="186"/>
      <c r="H13" s="188"/>
      <c r="I13" s="189"/>
      <c r="J13" s="190"/>
      <c r="L13" s="181"/>
      <c r="M13" s="181"/>
    </row>
    <row r="14" customFormat="false" ht="17" hidden="false" customHeight="false" outlineLevel="0" collapsed="false">
      <c r="A14" s="182" t="s">
        <v>3</v>
      </c>
      <c r="B14" s="183" t="s">
        <v>249</v>
      </c>
      <c r="C14" s="184" t="s">
        <v>250</v>
      </c>
      <c r="D14" s="177" t="n">
        <v>1</v>
      </c>
      <c r="E14" s="177"/>
      <c r="F14" s="177"/>
      <c r="G14" s="186"/>
      <c r="H14" s="186"/>
      <c r="I14" s="186"/>
      <c r="J14" s="190"/>
      <c r="L14" s="181"/>
      <c r="M14" s="181"/>
    </row>
    <row r="15" customFormat="false" ht="17" hidden="false" customHeight="false" outlineLevel="0" collapsed="false">
      <c r="A15" s="182" t="s">
        <v>3</v>
      </c>
      <c r="B15" s="183" t="s">
        <v>251</v>
      </c>
      <c r="C15" s="184" t="s">
        <v>260</v>
      </c>
      <c r="D15" s="177" t="n">
        <v>1.7</v>
      </c>
      <c r="E15" s="177"/>
      <c r="F15" s="177"/>
      <c r="G15" s="191"/>
      <c r="H15" s="191"/>
      <c r="I15" s="191"/>
      <c r="J15" s="190"/>
      <c r="L15" s="181"/>
      <c r="M15" s="181"/>
    </row>
    <row r="16" customFormat="false" ht="16" hidden="false" customHeight="false" outlineLevel="0" collapsed="false">
      <c r="A16" s="192" t="s">
        <v>253</v>
      </c>
      <c r="B16" s="193"/>
      <c r="C16" s="193"/>
      <c r="D16" s="177" t="n">
        <f aca="false">SUM(D10:F15)</f>
        <v>13.81</v>
      </c>
      <c r="E16" s="177"/>
      <c r="F16" s="177"/>
      <c r="G16" s="194" t="n">
        <f aca="false">SUM(G10:G15)</f>
        <v>0</v>
      </c>
      <c r="H16" s="195" t="n">
        <f aca="false">SUM(H10:H15)</f>
        <v>0</v>
      </c>
      <c r="I16" s="195" t="n">
        <f aca="false">SUM(I10:I15)</f>
        <v>0</v>
      </c>
      <c r="N16" s="181"/>
    </row>
    <row r="17" customFormat="false" ht="16" hidden="false" customHeight="false" outlineLevel="0" collapsed="false">
      <c r="A17" s="153"/>
      <c r="B17" s="153"/>
      <c r="C17" s="153"/>
      <c r="D17" s="153"/>
      <c r="E17" s="153"/>
      <c r="F17" s="196"/>
      <c r="G17" s="153"/>
      <c r="H17" s="153"/>
      <c r="I17" s="153"/>
      <c r="J17" s="153"/>
      <c r="K17" s="153"/>
    </row>
    <row r="18" customFormat="false" ht="16" hidden="false" customHeight="false" outlineLevel="0" collapsed="false">
      <c r="A18" s="153"/>
      <c r="B18" s="153"/>
      <c r="C18" s="153"/>
      <c r="D18" s="153"/>
      <c r="E18" s="153"/>
      <c r="F18" s="153"/>
      <c r="G18" s="153"/>
      <c r="H18" s="196"/>
      <c r="I18" s="153"/>
      <c r="J18" s="153"/>
      <c r="K18" s="153"/>
    </row>
    <row r="19" customFormat="false" ht="13.5" hidden="false" customHeight="true" outlineLevel="0" collapsed="false">
      <c r="A19" s="162"/>
      <c r="B19" s="163"/>
      <c r="C19" s="164"/>
      <c r="D19" s="165" t="s">
        <v>233</v>
      </c>
      <c r="E19" s="165"/>
      <c r="F19" s="165"/>
      <c r="G19" s="166" t="s">
        <v>234</v>
      </c>
      <c r="H19" s="166"/>
      <c r="I19" s="166"/>
    </row>
    <row r="20" customFormat="false" ht="34" hidden="false" customHeight="false" outlineLevel="0" collapsed="false">
      <c r="A20" s="167" t="s">
        <v>235</v>
      </c>
      <c r="B20" s="168" t="s">
        <v>236</v>
      </c>
      <c r="C20" s="168" t="s">
        <v>237</v>
      </c>
      <c r="D20" s="169" t="s">
        <v>238</v>
      </c>
      <c r="E20" s="170" t="s">
        <v>239</v>
      </c>
      <c r="F20" s="171" t="s">
        <v>240</v>
      </c>
      <c r="G20" s="172" t="s">
        <v>238</v>
      </c>
      <c r="H20" s="170" t="s">
        <v>239</v>
      </c>
      <c r="I20" s="173" t="s">
        <v>240</v>
      </c>
    </row>
    <row r="21" customFormat="false" ht="34" hidden="false" customHeight="false" outlineLevel="0" collapsed="false">
      <c r="A21" s="174" t="s">
        <v>3</v>
      </c>
      <c r="B21" s="175" t="s">
        <v>254</v>
      </c>
      <c r="C21" s="197" t="s">
        <v>255</v>
      </c>
      <c r="D21" s="198" t="n">
        <v>0.75</v>
      </c>
      <c r="E21" s="198" t="n">
        <v>0.75</v>
      </c>
      <c r="F21" s="198" t="n">
        <v>0.75</v>
      </c>
      <c r="G21" s="178"/>
      <c r="H21" s="179"/>
      <c r="I21" s="180"/>
      <c r="J21" s="131"/>
      <c r="K21" s="1"/>
      <c r="L21" s="181"/>
      <c r="M21" s="181"/>
    </row>
    <row r="22" customFormat="false" ht="16" hidden="false" customHeight="false" outlineLevel="0" collapsed="false">
      <c r="A22" s="192" t="s">
        <v>253</v>
      </c>
      <c r="B22" s="193"/>
      <c r="C22" s="199"/>
      <c r="D22" s="195" t="n">
        <f aca="false">SUM(D21:D21)</f>
        <v>0.75</v>
      </c>
      <c r="E22" s="195" t="n">
        <f aca="false">SUM(E21:E21)</f>
        <v>0.75</v>
      </c>
      <c r="F22" s="195" t="n">
        <f aca="false">SUM(F21:F21)</f>
        <v>0.75</v>
      </c>
      <c r="G22" s="195" t="n">
        <f aca="false">SUM(G21:G21)</f>
        <v>0</v>
      </c>
      <c r="H22" s="195" t="n">
        <f aca="false">SUM(H21:H21)</f>
        <v>0</v>
      </c>
      <c r="I22" s="195" t="n">
        <f aca="false">SUM(I21:I21)</f>
        <v>0</v>
      </c>
    </row>
    <row r="23" customFormat="false" ht="16" hidden="false" customHeight="false" outlineLevel="0" collapsed="false">
      <c r="A23" s="153"/>
      <c r="B23" s="153"/>
      <c r="C23" s="153"/>
      <c r="D23" s="153"/>
      <c r="E23" s="153"/>
      <c r="F23" s="153"/>
      <c r="G23" s="153"/>
      <c r="H23" s="153"/>
      <c r="I23" s="153"/>
      <c r="J23" s="153"/>
      <c r="K23" s="153"/>
    </row>
    <row r="24" customFormat="false" ht="16" hidden="false" customHeight="false" outlineLevel="0" collapsed="false">
      <c r="A24" s="153"/>
      <c r="B24" s="153"/>
      <c r="C24" s="153"/>
      <c r="D24" s="153"/>
      <c r="E24" s="153"/>
      <c r="F24" s="153"/>
      <c r="G24" s="153"/>
      <c r="H24" s="153"/>
      <c r="I24" s="153"/>
      <c r="J24" s="153"/>
      <c r="K24" s="153"/>
    </row>
    <row r="25" customFormat="false" ht="16" hidden="false" customHeight="false" outlineLevel="0" collapsed="false">
      <c r="A25" s="153"/>
      <c r="B25" s="153"/>
      <c r="C25" s="153"/>
      <c r="D25" s="153"/>
      <c r="E25" s="153"/>
      <c r="F25" s="153"/>
      <c r="G25" s="153"/>
      <c r="H25" s="153"/>
      <c r="I25" s="153"/>
      <c r="J25" s="153"/>
      <c r="K25" s="153"/>
    </row>
    <row r="26" customFormat="false" ht="16" hidden="false" customHeight="false" outlineLevel="0" collapsed="false">
      <c r="A26" s="200"/>
      <c r="B26" s="153"/>
      <c r="C26" s="153"/>
      <c r="D26" s="153"/>
      <c r="E26" s="153"/>
      <c r="F26" s="153"/>
      <c r="G26" s="153"/>
      <c r="H26" s="153"/>
      <c r="I26" s="153"/>
      <c r="J26" s="153"/>
      <c r="K26" s="153"/>
      <c r="N26" s="181"/>
    </row>
    <row r="27" customFormat="false" ht="16" hidden="false" customHeight="false" outlineLevel="0" collapsed="false">
      <c r="A27" s="153" t="s">
        <v>256</v>
      </c>
      <c r="B27" s="153"/>
      <c r="C27" s="153"/>
      <c r="D27" s="153"/>
      <c r="E27" s="153"/>
      <c r="F27" s="153"/>
      <c r="G27" s="153"/>
      <c r="H27" s="153"/>
      <c r="I27" s="153"/>
      <c r="J27" s="153"/>
      <c r="K27" s="153"/>
    </row>
    <row r="28" customFormat="false" ht="16" hidden="false" customHeight="false" outlineLevel="0" collapsed="false">
      <c r="A28" s="153" t="s">
        <v>257</v>
      </c>
      <c r="B28" s="153"/>
      <c r="C28" s="153"/>
      <c r="D28" s="153"/>
      <c r="E28" s="153"/>
      <c r="F28" s="153"/>
      <c r="G28" s="153"/>
      <c r="H28" s="153"/>
      <c r="I28" s="153"/>
      <c r="J28" s="153"/>
      <c r="K28" s="153"/>
    </row>
  </sheetData>
  <mergeCells count="11">
    <mergeCell ref="D8:F8"/>
    <mergeCell ref="G8:I8"/>
    <mergeCell ref="D10:F10"/>
    <mergeCell ref="D11:F11"/>
    <mergeCell ref="D12:F12"/>
    <mergeCell ref="D13:F13"/>
    <mergeCell ref="D14:F14"/>
    <mergeCell ref="D15:F15"/>
    <mergeCell ref="D16:F16"/>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30" colorId="64" zoomScale="100" zoomScaleNormal="100" zoomScalePageLayoutView="100" workbookViewId="0">
      <selection pane="topLeft" activeCell="A52" activeCellId="0" sqref="A52"/>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26" t="s">
        <v>0</v>
      </c>
      <c r="B2" s="127"/>
    </row>
    <row r="3" customFormat="false" ht="13" hidden="false" customHeight="false" outlineLevel="0" collapsed="false">
      <c r="A3" s="201" t="s">
        <v>2</v>
      </c>
      <c r="B3" s="202" t="str">
        <f aca="false">Metrics!B3</f>
        <v>Tier-1</v>
      </c>
    </row>
    <row r="4" customFormat="false" ht="13" hidden="false" customHeight="false" outlineLevel="0" collapsed="false">
      <c r="A4" s="8" t="s">
        <v>5</v>
      </c>
      <c r="B4" s="9" t="str">
        <f aca="false">Metrics!B4</f>
        <v>Q3 19</v>
      </c>
    </row>
    <row r="5" customFormat="false" ht="13" hidden="false" customHeight="false" outlineLevel="0" collapsed="false">
      <c r="A5" s="15" t="s">
        <v>8</v>
      </c>
      <c r="B5" s="16" t="str">
        <f aca="false">Metrics!B5</f>
        <v>Darren Moore</v>
      </c>
    </row>
    <row r="7" customFormat="false" ht="13" hidden="false" customHeight="false" outlineLevel="0" collapsed="false">
      <c r="A7" s="203" t="s">
        <v>261</v>
      </c>
    </row>
    <row r="8" customFormat="false" ht="16.5" hidden="false" customHeight="true" outlineLevel="0" collapsed="false">
      <c r="A8" s="204" t="s">
        <v>236</v>
      </c>
      <c r="B8" s="205" t="s">
        <v>262</v>
      </c>
      <c r="C8" s="205"/>
      <c r="D8" s="205"/>
      <c r="E8" s="205"/>
      <c r="F8" s="205"/>
      <c r="G8" s="206" t="s">
        <v>263</v>
      </c>
      <c r="H8" s="206"/>
      <c r="I8" s="206"/>
      <c r="J8" s="206"/>
      <c r="K8" s="206"/>
    </row>
    <row r="9" customFormat="false" ht="122.25" hidden="false" customHeight="true" outlineLevel="0" collapsed="false">
      <c r="A9" s="207" t="s">
        <v>264</v>
      </c>
      <c r="B9" s="208"/>
      <c r="C9" s="208"/>
      <c r="D9" s="208"/>
      <c r="E9" s="208"/>
      <c r="F9" s="208"/>
      <c r="G9" s="209"/>
      <c r="H9" s="209"/>
      <c r="I9" s="209"/>
      <c r="J9" s="209"/>
      <c r="K9" s="209"/>
      <c r="N9" s="210"/>
    </row>
    <row r="10" customFormat="false" ht="217.5" hidden="false" customHeight="true" outlineLevel="0" collapsed="false">
      <c r="A10" s="211" t="s">
        <v>249</v>
      </c>
      <c r="B10" s="212" t="s">
        <v>265</v>
      </c>
      <c r="C10" s="212"/>
      <c r="D10" s="212"/>
      <c r="E10" s="212"/>
      <c r="F10" s="212"/>
      <c r="G10" s="213"/>
      <c r="H10" s="213"/>
      <c r="I10" s="213"/>
      <c r="J10" s="213"/>
      <c r="K10" s="213"/>
    </row>
    <row r="11" customFormat="false" ht="143.25" hidden="false" customHeight="true" outlineLevel="0" collapsed="false">
      <c r="A11" s="211" t="s">
        <v>266</v>
      </c>
      <c r="B11" s="212" t="s">
        <v>267</v>
      </c>
      <c r="C11" s="212"/>
      <c r="D11" s="212"/>
      <c r="E11" s="212"/>
      <c r="F11" s="212"/>
      <c r="G11" s="213" t="s">
        <v>268</v>
      </c>
      <c r="H11" s="213"/>
      <c r="I11" s="213"/>
      <c r="J11" s="213"/>
      <c r="K11" s="213"/>
    </row>
    <row r="12" customFormat="false" ht="241.5" hidden="false" customHeight="true" outlineLevel="0" collapsed="false">
      <c r="A12" s="211" t="s">
        <v>269</v>
      </c>
      <c r="B12" s="212" t="s">
        <v>270</v>
      </c>
      <c r="C12" s="212"/>
      <c r="D12" s="212"/>
      <c r="E12" s="212"/>
      <c r="F12" s="212"/>
      <c r="G12" s="213"/>
      <c r="H12" s="213"/>
      <c r="I12" s="213"/>
      <c r="J12" s="213"/>
      <c r="K12" s="213"/>
    </row>
    <row r="13" customFormat="false" ht="351.75" hidden="false" customHeight="true" outlineLevel="0" collapsed="false">
      <c r="A13" s="211" t="s">
        <v>271</v>
      </c>
      <c r="B13" s="212" t="s">
        <v>272</v>
      </c>
      <c r="C13" s="212"/>
      <c r="D13" s="212"/>
      <c r="E13" s="212"/>
      <c r="F13" s="212"/>
      <c r="G13" s="214"/>
      <c r="H13" s="214"/>
      <c r="I13" s="214"/>
      <c r="J13" s="214"/>
      <c r="K13" s="214"/>
    </row>
    <row r="14" customFormat="false" ht="309" hidden="false" customHeight="true" outlineLevel="0" collapsed="false">
      <c r="A14" s="211" t="s">
        <v>273</v>
      </c>
      <c r="B14" s="215"/>
      <c r="C14" s="215"/>
      <c r="D14" s="215"/>
      <c r="E14" s="215"/>
      <c r="F14" s="215"/>
      <c r="G14" s="214"/>
      <c r="H14" s="214"/>
      <c r="I14" s="214"/>
      <c r="J14" s="214"/>
      <c r="K14" s="214"/>
    </row>
    <row r="15" customFormat="false" ht="129.75" hidden="false" customHeight="true" outlineLevel="0" collapsed="false">
      <c r="A15" s="211" t="s">
        <v>274</v>
      </c>
      <c r="B15" s="212" t="s">
        <v>275</v>
      </c>
      <c r="C15" s="212"/>
      <c r="D15" s="212"/>
      <c r="E15" s="212"/>
      <c r="F15" s="212"/>
      <c r="G15" s="214"/>
      <c r="H15" s="214"/>
      <c r="I15" s="214"/>
      <c r="J15" s="214"/>
      <c r="K15" s="214"/>
    </row>
    <row r="16" customFormat="false" ht="176.25" hidden="false" customHeight="true" outlineLevel="0" collapsed="false">
      <c r="A16" s="211" t="s">
        <v>276</v>
      </c>
      <c r="B16" s="212"/>
      <c r="C16" s="212"/>
      <c r="D16" s="212"/>
      <c r="E16" s="212"/>
      <c r="F16" s="212"/>
      <c r="G16" s="216" t="s">
        <v>277</v>
      </c>
      <c r="H16" s="216"/>
      <c r="I16" s="216"/>
      <c r="J16" s="216"/>
      <c r="K16" s="216"/>
    </row>
    <row r="17" customFormat="false" ht="212.25" hidden="false" customHeight="true" outlineLevel="0" collapsed="false">
      <c r="A17" s="211" t="s">
        <v>278</v>
      </c>
      <c r="B17" s="212" t="s">
        <v>279</v>
      </c>
      <c r="C17" s="212"/>
      <c r="D17" s="212"/>
      <c r="E17" s="212"/>
      <c r="F17" s="212"/>
      <c r="G17" s="214"/>
      <c r="H17" s="214"/>
      <c r="I17" s="214"/>
      <c r="J17" s="214"/>
      <c r="K17" s="214"/>
    </row>
    <row r="18" customFormat="false" ht="409.5" hidden="false" customHeight="true" outlineLevel="0" collapsed="false">
      <c r="A18" s="211" t="s">
        <v>280</v>
      </c>
      <c r="B18" s="212"/>
      <c r="C18" s="212"/>
      <c r="D18" s="212"/>
      <c r="E18" s="212"/>
      <c r="F18" s="212"/>
      <c r="G18" s="214" t="s">
        <v>281</v>
      </c>
      <c r="H18" s="214"/>
      <c r="I18" s="214"/>
      <c r="J18" s="214"/>
      <c r="K18" s="214"/>
    </row>
    <row r="19" customFormat="false" ht="248.25" hidden="false" customHeight="true" outlineLevel="0" collapsed="false">
      <c r="A19" s="217" t="s">
        <v>282</v>
      </c>
      <c r="B19" s="218"/>
      <c r="C19" s="218"/>
      <c r="D19" s="218"/>
      <c r="E19" s="218"/>
      <c r="F19" s="218"/>
      <c r="G19" s="219"/>
      <c r="H19" s="219"/>
      <c r="I19" s="219"/>
      <c r="J19" s="219"/>
      <c r="K19" s="219"/>
    </row>
    <row r="20" customFormat="false" ht="146.25" hidden="false" customHeight="true" outlineLevel="0" collapsed="false">
      <c r="A20" s="217" t="s">
        <v>283</v>
      </c>
      <c r="B20" s="220"/>
      <c r="C20" s="220"/>
      <c r="D20" s="220"/>
      <c r="E20" s="220"/>
      <c r="F20" s="220"/>
      <c r="G20" s="221"/>
      <c r="H20" s="221"/>
      <c r="I20" s="221"/>
      <c r="J20" s="221"/>
      <c r="K20" s="221"/>
    </row>
    <row r="21" customFormat="false" ht="146.25" hidden="false" customHeight="true" outlineLevel="0" collapsed="false">
      <c r="A21" s="217" t="s">
        <v>284</v>
      </c>
      <c r="B21" s="222" t="s">
        <v>285</v>
      </c>
      <c r="C21" s="222"/>
      <c r="D21" s="222"/>
      <c r="E21" s="222"/>
      <c r="F21" s="222"/>
      <c r="G21" s="223" t="s">
        <v>286</v>
      </c>
      <c r="H21" s="223"/>
      <c r="I21" s="223"/>
      <c r="J21" s="223"/>
      <c r="K21" s="223"/>
    </row>
    <row r="22" customFormat="false" ht="180" hidden="false" customHeight="true" outlineLevel="0" collapsed="false">
      <c r="A22" s="217" t="s">
        <v>287</v>
      </c>
      <c r="B22" s="218"/>
      <c r="C22" s="218"/>
      <c r="D22" s="218"/>
      <c r="E22" s="218"/>
      <c r="F22" s="218"/>
      <c r="G22" s="219"/>
      <c r="H22" s="219"/>
      <c r="I22" s="219"/>
      <c r="J22" s="219"/>
      <c r="K22" s="219"/>
    </row>
    <row r="23" customFormat="false" ht="13" hidden="false" customHeight="false" outlineLevel="0" collapsed="false">
      <c r="A23" s="0" t="s">
        <v>288</v>
      </c>
    </row>
    <row r="25" customFormat="false" ht="13" hidden="false" customHeight="false" outlineLevel="0" collapsed="false">
      <c r="A25" s="203" t="s">
        <v>289</v>
      </c>
    </row>
    <row r="26" customFormat="false" ht="13" hidden="false" customHeight="false" outlineLevel="0" collapsed="false">
      <c r="A26" s="224" t="s">
        <v>290</v>
      </c>
      <c r="B26" s="224"/>
      <c r="C26" s="224"/>
      <c r="D26" s="224"/>
      <c r="E26" s="224"/>
      <c r="F26" s="225" t="s">
        <v>291</v>
      </c>
      <c r="G26" s="225"/>
      <c r="H26" s="225"/>
      <c r="I26" s="225"/>
      <c r="J26" s="225"/>
    </row>
    <row r="27" customFormat="false" ht="81" hidden="false" customHeight="true" outlineLevel="0" collapsed="false">
      <c r="A27" s="226" t="s">
        <v>292</v>
      </c>
      <c r="B27" s="226"/>
      <c r="C27" s="226"/>
      <c r="D27" s="226"/>
      <c r="E27" s="226"/>
      <c r="F27" s="227" t="s">
        <v>293</v>
      </c>
      <c r="G27" s="227"/>
      <c r="H27" s="227"/>
      <c r="I27" s="227"/>
      <c r="J27" s="227"/>
    </row>
    <row r="28" customFormat="false" ht="13" hidden="false" customHeight="false" outlineLevel="0" collapsed="false">
      <c r="A28" s="228"/>
      <c r="B28" s="228"/>
      <c r="C28" s="228"/>
      <c r="D28" s="228"/>
      <c r="E28" s="228"/>
      <c r="F28" s="229"/>
      <c r="G28" s="229"/>
      <c r="H28" s="229"/>
      <c r="I28" s="229"/>
      <c r="J28" s="229"/>
    </row>
    <row r="30" customFormat="false" ht="13" hidden="false" customHeight="false" outlineLevel="0" collapsed="false">
      <c r="A30" s="203" t="s">
        <v>294</v>
      </c>
    </row>
    <row r="31" customFormat="false" ht="13" hidden="false" customHeight="false" outlineLevel="0" collapsed="false">
      <c r="A31" s="224" t="s">
        <v>290</v>
      </c>
      <c r="B31" s="224"/>
      <c r="C31" s="224"/>
      <c r="D31" s="224"/>
      <c r="E31" s="224"/>
      <c r="F31" s="225" t="s">
        <v>291</v>
      </c>
      <c r="G31" s="225"/>
      <c r="H31" s="225"/>
      <c r="I31" s="225"/>
      <c r="J31" s="225"/>
    </row>
    <row r="32" customFormat="false" ht="93" hidden="false" customHeight="true" outlineLevel="0" collapsed="false">
      <c r="A32" s="226" t="s">
        <v>295</v>
      </c>
      <c r="B32" s="226"/>
      <c r="C32" s="226"/>
      <c r="D32" s="226"/>
      <c r="E32" s="226"/>
      <c r="F32" s="230" t="s">
        <v>296</v>
      </c>
      <c r="G32" s="230"/>
      <c r="H32" s="230"/>
      <c r="I32" s="230"/>
      <c r="J32" s="230"/>
    </row>
    <row r="33" customFormat="false" ht="118.5" hidden="false" customHeight="true" outlineLevel="0" collapsed="false">
      <c r="A33" s="226" t="s">
        <v>297</v>
      </c>
      <c r="B33" s="226"/>
      <c r="C33" s="226"/>
      <c r="D33" s="226"/>
      <c r="E33" s="226"/>
      <c r="F33" s="230" t="s">
        <v>298</v>
      </c>
      <c r="G33" s="230"/>
      <c r="H33" s="230"/>
      <c r="I33" s="230"/>
      <c r="J33" s="230"/>
    </row>
    <row r="34" customFormat="false" ht="93" hidden="false" customHeight="true" outlineLevel="0" collapsed="false">
      <c r="A34" s="226" t="s">
        <v>299</v>
      </c>
      <c r="B34" s="226"/>
      <c r="C34" s="226"/>
      <c r="D34" s="226"/>
      <c r="E34" s="226"/>
      <c r="F34" s="230" t="s">
        <v>300</v>
      </c>
      <c r="G34" s="230"/>
      <c r="H34" s="230"/>
      <c r="I34" s="230"/>
      <c r="J34" s="230"/>
    </row>
    <row r="35" customFormat="false" ht="93" hidden="false" customHeight="true" outlineLevel="0" collapsed="false">
      <c r="A35" s="226" t="s">
        <v>301</v>
      </c>
      <c r="B35" s="226"/>
      <c r="C35" s="226"/>
      <c r="D35" s="226"/>
      <c r="E35" s="226"/>
      <c r="F35" s="230" t="s">
        <v>302</v>
      </c>
      <c r="G35" s="230"/>
      <c r="H35" s="230"/>
      <c r="I35" s="230"/>
      <c r="J35" s="230"/>
    </row>
    <row r="36" customFormat="false" ht="135" hidden="false" customHeight="true" outlineLevel="0" collapsed="false">
      <c r="A36" s="231" t="s">
        <v>303</v>
      </c>
      <c r="B36" s="231"/>
      <c r="C36" s="231"/>
      <c r="D36" s="231"/>
      <c r="E36" s="231"/>
      <c r="F36" s="232" t="s">
        <v>304</v>
      </c>
      <c r="G36" s="232"/>
      <c r="H36" s="232"/>
      <c r="I36" s="232"/>
      <c r="J36" s="232"/>
    </row>
    <row r="38" customFormat="false" ht="13" hidden="false" customHeight="false" outlineLevel="0" collapsed="false">
      <c r="A38" s="203" t="s">
        <v>305</v>
      </c>
    </row>
    <row r="39" customFormat="false" ht="13" hidden="false" customHeight="false" outlineLevel="0" collapsed="false">
      <c r="A39" s="224" t="s">
        <v>306</v>
      </c>
      <c r="B39" s="224"/>
      <c r="C39" s="224"/>
      <c r="D39" s="224"/>
      <c r="E39" s="224"/>
      <c r="F39" s="233" t="s">
        <v>307</v>
      </c>
      <c r="G39" s="233"/>
      <c r="H39" s="234" t="s">
        <v>308</v>
      </c>
      <c r="I39" s="234"/>
      <c r="J39" s="234"/>
      <c r="K39" s="234"/>
      <c r="L39" s="234"/>
    </row>
    <row r="40" customFormat="false" ht="115.5" hidden="false" customHeight="true" outlineLevel="0" collapsed="false">
      <c r="A40" s="235" t="s">
        <v>309</v>
      </c>
      <c r="B40" s="235"/>
      <c r="C40" s="235"/>
      <c r="D40" s="235"/>
      <c r="E40" s="235"/>
      <c r="F40" s="236" t="s">
        <v>310</v>
      </c>
      <c r="G40" s="236"/>
      <c r="H40" s="227" t="s">
        <v>221</v>
      </c>
      <c r="I40" s="227"/>
      <c r="J40" s="227"/>
      <c r="K40" s="227"/>
      <c r="L40" s="227"/>
    </row>
    <row r="41" customFormat="false" ht="115.5" hidden="false" customHeight="true" outlineLevel="0" collapsed="false">
      <c r="A41" s="237"/>
      <c r="B41" s="237"/>
      <c r="C41" s="237"/>
      <c r="D41" s="237"/>
      <c r="E41" s="237"/>
      <c r="F41" s="238"/>
      <c r="G41" s="238"/>
      <c r="H41" s="239"/>
      <c r="I41" s="239"/>
      <c r="J41" s="239"/>
      <c r="K41" s="239"/>
      <c r="L41" s="239"/>
    </row>
    <row r="42" customFormat="false" ht="115.5" hidden="false" customHeight="true" outlineLevel="0" collapsed="false">
      <c r="A42" s="240"/>
      <c r="B42" s="240"/>
      <c r="C42" s="240"/>
      <c r="D42" s="240"/>
      <c r="E42" s="240"/>
      <c r="F42" s="241"/>
      <c r="G42" s="241"/>
      <c r="H42" s="242"/>
      <c r="I42" s="242"/>
      <c r="J42" s="242"/>
      <c r="K42" s="242"/>
      <c r="L42" s="242"/>
    </row>
    <row r="43" customFormat="false" ht="24.75" hidden="false" customHeight="true" outlineLevel="0" collapsed="false">
      <c r="O43" s="243"/>
    </row>
    <row r="44" customFormat="false" ht="24.75" hidden="false" customHeight="true" outlineLevel="0" collapsed="false">
      <c r="A44" s="203" t="s">
        <v>311</v>
      </c>
      <c r="O44" s="243"/>
    </row>
    <row r="45" customFormat="false" ht="24.75" hidden="false" customHeight="true" outlineLevel="0" collapsed="false">
      <c r="A45" s="224" t="s">
        <v>306</v>
      </c>
      <c r="B45" s="224"/>
      <c r="C45" s="224"/>
      <c r="D45" s="224"/>
      <c r="E45" s="224"/>
      <c r="F45" s="233" t="s">
        <v>307</v>
      </c>
      <c r="G45" s="233"/>
      <c r="H45" s="234" t="s">
        <v>312</v>
      </c>
      <c r="I45" s="234"/>
      <c r="J45" s="234"/>
      <c r="K45" s="234"/>
      <c r="L45" s="234"/>
      <c r="O45" s="243"/>
    </row>
    <row r="46" customFormat="false" ht="115.5" hidden="false" customHeight="true" outlineLevel="0" collapsed="false">
      <c r="A46" s="237" t="s">
        <v>313</v>
      </c>
      <c r="B46" s="237"/>
      <c r="C46" s="237"/>
      <c r="D46" s="237"/>
      <c r="E46" s="237"/>
      <c r="F46" s="238" t="s">
        <v>314</v>
      </c>
      <c r="G46" s="238"/>
      <c r="H46" s="239"/>
      <c r="I46" s="239"/>
      <c r="J46" s="239"/>
      <c r="K46" s="239"/>
      <c r="L46" s="239"/>
    </row>
    <row r="47" customFormat="false" ht="115.5" hidden="false" customHeight="true" outlineLevel="0" collapsed="false">
      <c r="A47" s="240" t="s">
        <v>315</v>
      </c>
      <c r="B47" s="240"/>
      <c r="C47" s="240"/>
      <c r="D47" s="240"/>
      <c r="E47" s="240"/>
      <c r="F47" s="241" t="s">
        <v>316</v>
      </c>
      <c r="G47" s="241"/>
      <c r="H47" s="242"/>
      <c r="I47" s="242"/>
      <c r="J47" s="242"/>
      <c r="K47" s="242"/>
      <c r="L47" s="242"/>
    </row>
    <row r="48" customFormat="false" ht="115.5" hidden="false" customHeight="true" outlineLevel="0" collapsed="false">
      <c r="A48" s="240"/>
      <c r="B48" s="240"/>
      <c r="C48" s="240"/>
      <c r="D48" s="240"/>
      <c r="E48" s="240"/>
      <c r="F48" s="241"/>
      <c r="G48" s="241"/>
      <c r="H48" s="242"/>
      <c r="I48" s="242"/>
      <c r="J48" s="242"/>
      <c r="K48" s="242"/>
      <c r="L48" s="242"/>
    </row>
    <row r="50" customFormat="false" ht="24.75" hidden="false" customHeight="true" outlineLevel="0" collapsed="false">
      <c r="A50" s="203" t="s">
        <v>317</v>
      </c>
      <c r="O50" s="243"/>
    </row>
    <row r="51" customFormat="false" ht="24.75" hidden="false" customHeight="true" outlineLevel="0" collapsed="false">
      <c r="A51" s="244" t="s">
        <v>306</v>
      </c>
      <c r="B51" s="244"/>
      <c r="C51" s="244"/>
      <c r="D51" s="244"/>
      <c r="E51" s="244"/>
      <c r="F51" s="245" t="s">
        <v>318</v>
      </c>
      <c r="G51" s="245"/>
      <c r="H51" s="246" t="s">
        <v>319</v>
      </c>
      <c r="I51" s="246"/>
      <c r="J51" s="247" t="s">
        <v>320</v>
      </c>
      <c r="K51" s="247"/>
      <c r="L51" s="247"/>
      <c r="M51" s="247"/>
      <c r="N51" s="247"/>
      <c r="O51" s="243"/>
    </row>
    <row r="52" customFormat="false" ht="66.75" hidden="false" customHeight="true" outlineLevel="0" collapsed="false">
      <c r="A52" s="248"/>
      <c r="B52" s="248"/>
      <c r="C52" s="248"/>
      <c r="D52" s="248"/>
      <c r="E52" s="248"/>
      <c r="F52" s="249"/>
      <c r="G52" s="249"/>
      <c r="H52" s="250"/>
      <c r="I52" s="250"/>
      <c r="J52" s="251"/>
      <c r="K52" s="251"/>
      <c r="L52" s="251"/>
      <c r="M52" s="251"/>
      <c r="N52" s="251"/>
    </row>
    <row r="53" customFormat="false" ht="66.75" hidden="false" customHeight="true" outlineLevel="0" collapsed="false">
      <c r="A53" s="226"/>
      <c r="B53" s="226"/>
      <c r="C53" s="226"/>
      <c r="D53" s="226"/>
      <c r="E53" s="226"/>
      <c r="F53" s="252"/>
      <c r="G53" s="252"/>
      <c r="H53" s="253"/>
      <c r="I53" s="253"/>
      <c r="J53" s="227"/>
      <c r="K53" s="227"/>
      <c r="L53" s="227"/>
      <c r="M53" s="227"/>
      <c r="N53" s="227"/>
    </row>
    <row r="54" customFormat="false" ht="24.75" hidden="false" customHeight="true" outlineLevel="0" collapsed="false">
      <c r="A54" s="226"/>
      <c r="B54" s="226"/>
      <c r="C54" s="226"/>
      <c r="D54" s="226"/>
      <c r="E54" s="226"/>
      <c r="F54" s="252"/>
      <c r="G54" s="252"/>
      <c r="H54" s="253"/>
      <c r="I54" s="253"/>
      <c r="J54" s="227"/>
      <c r="K54" s="227"/>
      <c r="L54" s="227"/>
      <c r="M54" s="227"/>
      <c r="N54" s="227"/>
    </row>
    <row r="55" customFormat="false" ht="13" hidden="false" customHeight="false" outlineLevel="0" collapsed="false">
      <c r="A55" s="203" t="s">
        <v>321</v>
      </c>
    </row>
    <row r="56" customFormat="false" ht="13" hidden="false" customHeight="false" outlineLevel="0" collapsed="false">
      <c r="A56" s="224" t="s">
        <v>306</v>
      </c>
      <c r="B56" s="224"/>
      <c r="C56" s="224"/>
      <c r="D56" s="224"/>
      <c r="E56" s="224"/>
      <c r="F56" s="233" t="s">
        <v>307</v>
      </c>
      <c r="G56" s="233"/>
      <c r="H56" s="234" t="s">
        <v>308</v>
      </c>
      <c r="I56" s="234"/>
      <c r="J56" s="234"/>
      <c r="K56" s="234"/>
      <c r="L56" s="234"/>
    </row>
    <row r="57" customFormat="false" ht="13.5" hidden="false" customHeight="true" outlineLevel="0" collapsed="false">
      <c r="A57" s="254"/>
      <c r="B57" s="254"/>
      <c r="C57" s="254"/>
      <c r="D57" s="254"/>
      <c r="E57" s="254"/>
      <c r="F57" s="255"/>
      <c r="G57" s="255"/>
      <c r="H57" s="232"/>
      <c r="I57" s="232"/>
      <c r="J57" s="232"/>
      <c r="K57" s="232"/>
      <c r="L57" s="232"/>
    </row>
    <row r="58" customFormat="false" ht="32.25" hidden="false" customHeight="true" outlineLevel="0" collapsed="false">
      <c r="A58" s="254"/>
      <c r="B58" s="254"/>
      <c r="C58" s="254"/>
      <c r="D58" s="254"/>
      <c r="E58" s="254"/>
      <c r="F58" s="255"/>
      <c r="G58" s="255"/>
      <c r="H58" s="232"/>
      <c r="I58" s="232"/>
      <c r="J58" s="232"/>
      <c r="K58" s="232"/>
      <c r="L58" s="232"/>
    </row>
    <row r="59" customFormat="false" ht="13" hidden="false" customHeight="false" outlineLevel="0" collapsed="false">
      <c r="A59" s="254"/>
      <c r="B59" s="254"/>
      <c r="C59" s="254"/>
      <c r="D59" s="254"/>
      <c r="E59" s="254"/>
      <c r="F59" s="255"/>
      <c r="G59" s="255"/>
      <c r="H59" s="232"/>
      <c r="I59" s="232"/>
      <c r="J59" s="232"/>
      <c r="K59" s="232"/>
      <c r="L59" s="232"/>
    </row>
  </sheetData>
  <mergeCells count="100">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9:E39"/>
    <mergeCell ref="F39:G39"/>
    <mergeCell ref="H39:L39"/>
    <mergeCell ref="A40:E40"/>
    <mergeCell ref="F40:G40"/>
    <mergeCell ref="H40:L40"/>
    <mergeCell ref="A41:E41"/>
    <mergeCell ref="F41:G41"/>
    <mergeCell ref="H41:L41"/>
    <mergeCell ref="A42:E42"/>
    <mergeCell ref="F42:G42"/>
    <mergeCell ref="H42:L42"/>
    <mergeCell ref="A45:E45"/>
    <mergeCell ref="F45:G45"/>
    <mergeCell ref="H45:L45"/>
    <mergeCell ref="A46:E46"/>
    <mergeCell ref="F46:G46"/>
    <mergeCell ref="H46:L46"/>
    <mergeCell ref="A47:E47"/>
    <mergeCell ref="F47:G47"/>
    <mergeCell ref="H47:L47"/>
    <mergeCell ref="A48:E48"/>
    <mergeCell ref="F48:G48"/>
    <mergeCell ref="H48:L48"/>
    <mergeCell ref="A51:E51"/>
    <mergeCell ref="F51:G51"/>
    <mergeCell ref="H51:I51"/>
    <mergeCell ref="J51:N51"/>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A1:O58"/>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12" activeCellId="0" sqref="A12"/>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1" customFormat="false" ht="13" hidden="false" customHeight="false" outlineLevel="0" collapsed="false">
      <c r="A1" s="126" t="s">
        <v>0</v>
      </c>
      <c r="B1" s="127"/>
    </row>
    <row r="2" customFormat="false" ht="13" hidden="false" customHeight="false" outlineLevel="0" collapsed="false">
      <c r="A2" s="201" t="s">
        <v>2</v>
      </c>
      <c r="B2" s="202" t="str">
        <f aca="false">Metrics!B3</f>
        <v>Tier-1</v>
      </c>
    </row>
    <row r="3" customFormat="false" ht="13" hidden="false" customHeight="false" outlineLevel="0" collapsed="false">
      <c r="A3" s="8" t="s">
        <v>5</v>
      </c>
      <c r="B3" s="9" t="str">
        <f aca="false">Metrics!B4</f>
        <v>Q3 19</v>
      </c>
    </row>
    <row r="4" customFormat="false" ht="13" hidden="false" customHeight="false" outlineLevel="0" collapsed="false">
      <c r="A4" s="15" t="s">
        <v>8</v>
      </c>
      <c r="B4" s="16" t="str">
        <f aca="false">Metrics!B5</f>
        <v>Darren Moore</v>
      </c>
    </row>
    <row r="6" customFormat="false" ht="13" hidden="false" customHeight="false" outlineLevel="0" collapsed="false">
      <c r="A6" s="203" t="s">
        <v>261</v>
      </c>
    </row>
    <row r="7" customFormat="false" ht="16.5" hidden="false" customHeight="true" outlineLevel="0" collapsed="false">
      <c r="A7" s="204" t="s">
        <v>236</v>
      </c>
      <c r="B7" s="205" t="s">
        <v>262</v>
      </c>
      <c r="C7" s="205"/>
      <c r="D7" s="205"/>
      <c r="E7" s="205"/>
      <c r="F7" s="205"/>
      <c r="G7" s="206" t="s">
        <v>263</v>
      </c>
      <c r="H7" s="206"/>
      <c r="I7" s="206"/>
      <c r="J7" s="206"/>
      <c r="K7" s="206"/>
    </row>
    <row r="8" customFormat="false" ht="122.25" hidden="false" customHeight="true" outlineLevel="0" collapsed="false">
      <c r="A8" s="207" t="s">
        <v>264</v>
      </c>
      <c r="B8" s="208"/>
      <c r="C8" s="208"/>
      <c r="D8" s="208"/>
      <c r="E8" s="208"/>
      <c r="F8" s="208"/>
      <c r="G8" s="209"/>
      <c r="H8" s="209"/>
      <c r="I8" s="209"/>
      <c r="J8" s="209"/>
      <c r="K8" s="209"/>
      <c r="N8" s="210"/>
    </row>
    <row r="9" customFormat="false" ht="217.5" hidden="false" customHeight="true" outlineLevel="0" collapsed="false">
      <c r="A9" s="211" t="s">
        <v>249</v>
      </c>
      <c r="B9" s="212"/>
      <c r="C9" s="212"/>
      <c r="D9" s="212"/>
      <c r="E9" s="212"/>
      <c r="F9" s="212"/>
      <c r="G9" s="213"/>
      <c r="H9" s="213"/>
      <c r="I9" s="213"/>
      <c r="J9" s="213"/>
      <c r="K9" s="213"/>
    </row>
    <row r="10" customFormat="false" ht="143.25" hidden="false" customHeight="true" outlineLevel="0" collapsed="false">
      <c r="A10" s="211" t="s">
        <v>266</v>
      </c>
      <c r="B10" s="212"/>
      <c r="C10" s="212"/>
      <c r="D10" s="212"/>
      <c r="E10" s="212"/>
      <c r="F10" s="212"/>
      <c r="G10" s="213"/>
      <c r="H10" s="213"/>
      <c r="I10" s="213"/>
      <c r="J10" s="213"/>
      <c r="K10" s="213"/>
    </row>
    <row r="11" customFormat="false" ht="241.5" hidden="false" customHeight="true" outlineLevel="0" collapsed="false">
      <c r="A11" s="211" t="s">
        <v>269</v>
      </c>
      <c r="B11" s="212" t="s">
        <v>322</v>
      </c>
      <c r="C11" s="212"/>
      <c r="D11" s="212"/>
      <c r="E11" s="212"/>
      <c r="F11" s="212"/>
      <c r="G11" s="213"/>
      <c r="H11" s="213"/>
      <c r="I11" s="213"/>
      <c r="J11" s="213"/>
      <c r="K11" s="213"/>
    </row>
    <row r="12" customFormat="false" ht="351.75" hidden="false" customHeight="true" outlineLevel="0" collapsed="false">
      <c r="A12" s="211" t="s">
        <v>271</v>
      </c>
      <c r="B12" s="212" t="s">
        <v>323</v>
      </c>
      <c r="C12" s="212"/>
      <c r="D12" s="212"/>
      <c r="E12" s="212"/>
      <c r="F12" s="212"/>
      <c r="G12" s="214"/>
      <c r="H12" s="214"/>
      <c r="I12" s="214"/>
      <c r="J12" s="214"/>
      <c r="K12" s="214"/>
    </row>
    <row r="13" customFormat="false" ht="309" hidden="false" customHeight="true" outlineLevel="0" collapsed="false">
      <c r="A13" s="211" t="s">
        <v>273</v>
      </c>
      <c r="B13" s="215"/>
      <c r="C13" s="215"/>
      <c r="D13" s="215"/>
      <c r="E13" s="215"/>
      <c r="F13" s="215"/>
      <c r="G13" s="214" t="s">
        <v>324</v>
      </c>
      <c r="H13" s="214"/>
      <c r="I13" s="214"/>
      <c r="J13" s="214"/>
      <c r="K13" s="214"/>
    </row>
    <row r="14" customFormat="false" ht="129.75" hidden="false" customHeight="true" outlineLevel="0" collapsed="false">
      <c r="A14" s="211" t="s">
        <v>274</v>
      </c>
      <c r="B14" s="212" t="s">
        <v>325</v>
      </c>
      <c r="C14" s="212"/>
      <c r="D14" s="212"/>
      <c r="E14" s="212"/>
      <c r="F14" s="212"/>
      <c r="G14" s="214" t="s">
        <v>326</v>
      </c>
      <c r="H14" s="214"/>
      <c r="I14" s="214"/>
      <c r="J14" s="214"/>
      <c r="K14" s="214"/>
    </row>
    <row r="15" customFormat="false" ht="176.25" hidden="false" customHeight="true" outlineLevel="0" collapsed="false">
      <c r="A15" s="211" t="s">
        <v>276</v>
      </c>
      <c r="B15" s="212"/>
      <c r="C15" s="212"/>
      <c r="D15" s="212"/>
      <c r="E15" s="212"/>
      <c r="F15" s="212"/>
      <c r="G15" s="216" t="s">
        <v>327</v>
      </c>
      <c r="H15" s="216"/>
      <c r="I15" s="216"/>
      <c r="J15" s="216"/>
      <c r="K15" s="216"/>
    </row>
    <row r="16" customFormat="false" ht="212.25" hidden="false" customHeight="true" outlineLevel="0" collapsed="false">
      <c r="A16" s="211" t="s">
        <v>278</v>
      </c>
      <c r="B16" s="212" t="s">
        <v>328</v>
      </c>
      <c r="C16" s="212"/>
      <c r="D16" s="212"/>
      <c r="E16" s="212"/>
      <c r="F16" s="212"/>
      <c r="G16" s="214" t="s">
        <v>329</v>
      </c>
      <c r="H16" s="214"/>
      <c r="I16" s="214"/>
      <c r="J16" s="214"/>
      <c r="K16" s="214"/>
    </row>
    <row r="17" customFormat="false" ht="409.5" hidden="false" customHeight="true" outlineLevel="0" collapsed="false">
      <c r="A17" s="211" t="s">
        <v>280</v>
      </c>
      <c r="B17" s="212"/>
      <c r="C17" s="212"/>
      <c r="D17" s="212"/>
      <c r="E17" s="212"/>
      <c r="F17" s="212"/>
      <c r="G17" s="214" t="s">
        <v>281</v>
      </c>
      <c r="H17" s="214"/>
      <c r="I17" s="214"/>
      <c r="J17" s="214"/>
      <c r="K17" s="214"/>
    </row>
    <row r="18" customFormat="false" ht="248.25" hidden="false" customHeight="true" outlineLevel="0" collapsed="false">
      <c r="A18" s="217" t="s">
        <v>282</v>
      </c>
      <c r="B18" s="218"/>
      <c r="C18" s="218"/>
      <c r="D18" s="218"/>
      <c r="E18" s="218"/>
      <c r="F18" s="218"/>
      <c r="G18" s="219"/>
      <c r="H18" s="219"/>
      <c r="I18" s="219"/>
      <c r="J18" s="219"/>
      <c r="K18" s="219"/>
    </row>
    <row r="19" customFormat="false" ht="146.25" hidden="false" customHeight="true" outlineLevel="0" collapsed="false">
      <c r="A19" s="217" t="s">
        <v>283</v>
      </c>
      <c r="B19" s="220"/>
      <c r="C19" s="220"/>
      <c r="D19" s="220"/>
      <c r="E19" s="220"/>
      <c r="F19" s="220"/>
      <c r="G19" s="221" t="s">
        <v>330</v>
      </c>
      <c r="H19" s="221"/>
      <c r="I19" s="221"/>
      <c r="J19" s="221"/>
      <c r="K19" s="221"/>
    </row>
    <row r="20" customFormat="false" ht="146.25" hidden="false" customHeight="true" outlineLevel="0" collapsed="false">
      <c r="A20" s="217" t="s">
        <v>284</v>
      </c>
      <c r="B20" s="222" t="s">
        <v>285</v>
      </c>
      <c r="C20" s="222"/>
      <c r="D20" s="222"/>
      <c r="E20" s="222"/>
      <c r="F20" s="222"/>
      <c r="G20" s="223"/>
      <c r="H20" s="223"/>
      <c r="I20" s="223"/>
      <c r="J20" s="223"/>
      <c r="K20" s="223"/>
    </row>
    <row r="21" customFormat="false" ht="180" hidden="false" customHeight="true" outlineLevel="0" collapsed="false">
      <c r="A21" s="217" t="s">
        <v>287</v>
      </c>
      <c r="B21" s="218"/>
      <c r="C21" s="218"/>
      <c r="D21" s="218"/>
      <c r="E21" s="218"/>
      <c r="F21" s="218"/>
      <c r="G21" s="219"/>
      <c r="H21" s="219"/>
      <c r="I21" s="219"/>
      <c r="J21" s="219"/>
      <c r="K21" s="219"/>
    </row>
    <row r="22" customFormat="false" ht="13" hidden="false" customHeight="false" outlineLevel="0" collapsed="false">
      <c r="A22" s="0" t="s">
        <v>288</v>
      </c>
    </row>
    <row r="24" customFormat="false" ht="13" hidden="false" customHeight="false" outlineLevel="0" collapsed="false">
      <c r="A24" s="203" t="s">
        <v>289</v>
      </c>
    </row>
    <row r="25" customFormat="false" ht="13" hidden="false" customHeight="false" outlineLevel="0" collapsed="false">
      <c r="A25" s="224" t="s">
        <v>290</v>
      </c>
      <c r="B25" s="224"/>
      <c r="C25" s="224"/>
      <c r="D25" s="224"/>
      <c r="E25" s="224"/>
      <c r="F25" s="225" t="s">
        <v>291</v>
      </c>
      <c r="G25" s="225"/>
      <c r="H25" s="225"/>
      <c r="I25" s="225"/>
      <c r="J25" s="225"/>
    </row>
    <row r="26" customFormat="false" ht="81" hidden="false" customHeight="true" outlineLevel="0" collapsed="false">
      <c r="A26" s="226" t="s">
        <v>292</v>
      </c>
      <c r="B26" s="226"/>
      <c r="C26" s="226"/>
      <c r="D26" s="226"/>
      <c r="E26" s="226"/>
      <c r="F26" s="227" t="s">
        <v>293</v>
      </c>
      <c r="G26" s="227"/>
      <c r="H26" s="227"/>
      <c r="I26" s="227"/>
      <c r="J26" s="227"/>
    </row>
    <row r="27" customFormat="false" ht="13" hidden="false" customHeight="false" outlineLevel="0" collapsed="false">
      <c r="A27" s="228"/>
      <c r="B27" s="228"/>
      <c r="C27" s="228"/>
      <c r="D27" s="228"/>
      <c r="E27" s="228"/>
      <c r="F27" s="229"/>
      <c r="G27" s="229"/>
      <c r="H27" s="229"/>
      <c r="I27" s="229"/>
      <c r="J27" s="229"/>
    </row>
    <row r="29" customFormat="false" ht="13" hidden="false" customHeight="false" outlineLevel="0" collapsed="false">
      <c r="A29" s="203" t="s">
        <v>294</v>
      </c>
    </row>
    <row r="30" customFormat="false" ht="13" hidden="false" customHeight="false" outlineLevel="0" collapsed="false">
      <c r="A30" s="224" t="s">
        <v>290</v>
      </c>
      <c r="B30" s="224"/>
      <c r="C30" s="224"/>
      <c r="D30" s="224"/>
      <c r="E30" s="224"/>
      <c r="F30" s="225" t="s">
        <v>291</v>
      </c>
      <c r="G30" s="225"/>
      <c r="H30" s="225"/>
      <c r="I30" s="225"/>
      <c r="J30" s="225"/>
    </row>
    <row r="31" customFormat="false" ht="93" hidden="false" customHeight="true" outlineLevel="0" collapsed="false">
      <c r="A31" s="226" t="s">
        <v>295</v>
      </c>
      <c r="B31" s="226"/>
      <c r="C31" s="226"/>
      <c r="D31" s="226"/>
      <c r="E31" s="226"/>
      <c r="F31" s="230" t="s">
        <v>296</v>
      </c>
      <c r="G31" s="230"/>
      <c r="H31" s="230"/>
      <c r="I31" s="230"/>
      <c r="J31" s="230"/>
    </row>
    <row r="32" customFormat="false" ht="118.5" hidden="false" customHeight="true" outlineLevel="0" collapsed="false">
      <c r="A32" s="226" t="s">
        <v>297</v>
      </c>
      <c r="B32" s="226"/>
      <c r="C32" s="226"/>
      <c r="D32" s="226"/>
      <c r="E32" s="226"/>
      <c r="F32" s="230" t="s">
        <v>298</v>
      </c>
      <c r="G32" s="230"/>
      <c r="H32" s="230"/>
      <c r="I32" s="230"/>
      <c r="J32" s="230"/>
    </row>
    <row r="33" customFormat="false" ht="93" hidden="false" customHeight="true" outlineLevel="0" collapsed="false">
      <c r="A33" s="226" t="s">
        <v>299</v>
      </c>
      <c r="B33" s="226"/>
      <c r="C33" s="226"/>
      <c r="D33" s="226"/>
      <c r="E33" s="226"/>
      <c r="F33" s="230" t="s">
        <v>300</v>
      </c>
      <c r="G33" s="230"/>
      <c r="H33" s="230"/>
      <c r="I33" s="230"/>
      <c r="J33" s="230"/>
    </row>
    <row r="34" customFormat="false" ht="93" hidden="false" customHeight="true" outlineLevel="0" collapsed="false">
      <c r="A34" s="226" t="s">
        <v>301</v>
      </c>
      <c r="B34" s="226"/>
      <c r="C34" s="226"/>
      <c r="D34" s="226"/>
      <c r="E34" s="226"/>
      <c r="F34" s="230" t="s">
        <v>302</v>
      </c>
      <c r="G34" s="230"/>
      <c r="H34" s="230"/>
      <c r="I34" s="230"/>
      <c r="J34" s="230"/>
    </row>
    <row r="35" customFormat="false" ht="135" hidden="false" customHeight="true" outlineLevel="0" collapsed="false">
      <c r="A35" s="231" t="s">
        <v>303</v>
      </c>
      <c r="B35" s="231"/>
      <c r="C35" s="231"/>
      <c r="D35" s="231"/>
      <c r="E35" s="231"/>
      <c r="F35" s="232" t="s">
        <v>304</v>
      </c>
      <c r="G35" s="232"/>
      <c r="H35" s="232"/>
      <c r="I35" s="232"/>
      <c r="J35" s="232"/>
    </row>
    <row r="37" customFormat="false" ht="13" hidden="false" customHeight="false" outlineLevel="0" collapsed="false">
      <c r="A37" s="203" t="s">
        <v>305</v>
      </c>
    </row>
    <row r="38" customFormat="false" ht="13" hidden="false" customHeight="false" outlineLevel="0" collapsed="false">
      <c r="A38" s="224" t="s">
        <v>306</v>
      </c>
      <c r="B38" s="224"/>
      <c r="C38" s="224"/>
      <c r="D38" s="224"/>
      <c r="E38" s="224"/>
      <c r="F38" s="233" t="s">
        <v>307</v>
      </c>
      <c r="G38" s="233"/>
      <c r="H38" s="234" t="s">
        <v>308</v>
      </c>
      <c r="I38" s="234"/>
      <c r="J38" s="234"/>
      <c r="K38" s="234"/>
      <c r="L38" s="234"/>
    </row>
    <row r="39" customFormat="false" ht="115.5" hidden="false" customHeight="true" outlineLevel="0" collapsed="false">
      <c r="A39" s="235" t="s">
        <v>309</v>
      </c>
      <c r="B39" s="235"/>
      <c r="C39" s="235"/>
      <c r="D39" s="235"/>
      <c r="E39" s="235"/>
      <c r="F39" s="236" t="s">
        <v>310</v>
      </c>
      <c r="G39" s="236"/>
      <c r="H39" s="227" t="s">
        <v>221</v>
      </c>
      <c r="I39" s="227"/>
      <c r="J39" s="227"/>
      <c r="K39" s="227"/>
      <c r="L39" s="227"/>
    </row>
    <row r="40" customFormat="false" ht="115.5" hidden="false" customHeight="true" outlineLevel="0" collapsed="false">
      <c r="A40" s="237"/>
      <c r="B40" s="237"/>
      <c r="C40" s="237"/>
      <c r="D40" s="237"/>
      <c r="E40" s="237"/>
      <c r="F40" s="238"/>
      <c r="G40" s="238"/>
      <c r="H40" s="239"/>
      <c r="I40" s="239"/>
      <c r="J40" s="239"/>
      <c r="K40" s="239"/>
      <c r="L40" s="239"/>
    </row>
    <row r="41" customFormat="false" ht="115.5" hidden="false" customHeight="true" outlineLevel="0" collapsed="false">
      <c r="A41" s="240"/>
      <c r="B41" s="240"/>
      <c r="C41" s="240"/>
      <c r="D41" s="240"/>
      <c r="E41" s="240"/>
      <c r="F41" s="241"/>
      <c r="G41" s="241"/>
      <c r="H41" s="242"/>
      <c r="I41" s="242"/>
      <c r="J41" s="242"/>
      <c r="K41" s="242"/>
      <c r="L41" s="242"/>
    </row>
    <row r="42" customFormat="false" ht="24.75" hidden="false" customHeight="true" outlineLevel="0" collapsed="false">
      <c r="O42" s="243"/>
    </row>
    <row r="43" customFormat="false" ht="24.75" hidden="false" customHeight="true" outlineLevel="0" collapsed="false">
      <c r="A43" s="203" t="s">
        <v>311</v>
      </c>
      <c r="O43" s="243"/>
    </row>
    <row r="44" customFormat="false" ht="24.75" hidden="false" customHeight="true" outlineLevel="0" collapsed="false">
      <c r="A44" s="224" t="s">
        <v>306</v>
      </c>
      <c r="B44" s="224"/>
      <c r="C44" s="224"/>
      <c r="D44" s="224"/>
      <c r="E44" s="224"/>
      <c r="F44" s="233" t="s">
        <v>307</v>
      </c>
      <c r="G44" s="233"/>
      <c r="H44" s="234" t="s">
        <v>312</v>
      </c>
      <c r="I44" s="234"/>
      <c r="J44" s="234"/>
      <c r="K44" s="234"/>
      <c r="L44" s="234"/>
      <c r="O44" s="243"/>
    </row>
    <row r="45" customFormat="false" ht="115.5" hidden="false" customHeight="true" outlineLevel="0" collapsed="false">
      <c r="A45" s="237" t="s">
        <v>313</v>
      </c>
      <c r="B45" s="237"/>
      <c r="C45" s="237"/>
      <c r="D45" s="237"/>
      <c r="E45" s="237"/>
      <c r="F45" s="238" t="s">
        <v>314</v>
      </c>
      <c r="G45" s="238"/>
      <c r="H45" s="239"/>
      <c r="I45" s="239"/>
      <c r="J45" s="239"/>
      <c r="K45" s="239"/>
      <c r="L45" s="239"/>
    </row>
    <row r="46" customFormat="false" ht="115.5" hidden="false" customHeight="true" outlineLevel="0" collapsed="false">
      <c r="A46" s="240" t="s">
        <v>315</v>
      </c>
      <c r="B46" s="240"/>
      <c r="C46" s="240"/>
      <c r="D46" s="240"/>
      <c r="E46" s="240"/>
      <c r="F46" s="241" t="s">
        <v>316</v>
      </c>
      <c r="G46" s="241"/>
      <c r="H46" s="242"/>
      <c r="I46" s="242"/>
      <c r="J46" s="242"/>
      <c r="K46" s="242"/>
      <c r="L46" s="242"/>
    </row>
    <row r="47" customFormat="false" ht="115.5" hidden="false" customHeight="true" outlineLevel="0" collapsed="false">
      <c r="A47" s="240"/>
      <c r="B47" s="240"/>
      <c r="C47" s="240"/>
      <c r="D47" s="240"/>
      <c r="E47" s="240"/>
      <c r="F47" s="241"/>
      <c r="G47" s="241"/>
      <c r="H47" s="242"/>
      <c r="I47" s="242"/>
      <c r="J47" s="242"/>
      <c r="K47" s="242"/>
      <c r="L47" s="242"/>
    </row>
    <row r="49" customFormat="false" ht="24.75" hidden="false" customHeight="true" outlineLevel="0" collapsed="false">
      <c r="A49" s="203" t="s">
        <v>317</v>
      </c>
      <c r="O49" s="243"/>
    </row>
    <row r="50" customFormat="false" ht="24.75" hidden="false" customHeight="true" outlineLevel="0" collapsed="false">
      <c r="A50" s="244" t="s">
        <v>306</v>
      </c>
      <c r="B50" s="244"/>
      <c r="C50" s="244"/>
      <c r="D50" s="244"/>
      <c r="E50" s="244"/>
      <c r="F50" s="245" t="s">
        <v>318</v>
      </c>
      <c r="G50" s="245"/>
      <c r="H50" s="246" t="s">
        <v>319</v>
      </c>
      <c r="I50" s="246"/>
      <c r="J50" s="247" t="s">
        <v>320</v>
      </c>
      <c r="K50" s="247"/>
      <c r="L50" s="247"/>
      <c r="M50" s="247"/>
      <c r="N50" s="247"/>
      <c r="O50" s="243"/>
    </row>
    <row r="51" customFormat="false" ht="66.75" hidden="false" customHeight="true" outlineLevel="0" collapsed="false">
      <c r="A51" s="248"/>
      <c r="B51" s="248"/>
      <c r="C51" s="248"/>
      <c r="D51" s="248"/>
      <c r="E51" s="248"/>
      <c r="F51" s="249"/>
      <c r="G51" s="249"/>
      <c r="H51" s="250"/>
      <c r="I51" s="250"/>
      <c r="J51" s="251"/>
      <c r="K51" s="251"/>
      <c r="L51" s="251"/>
      <c r="M51" s="251"/>
      <c r="N51" s="251"/>
    </row>
    <row r="52" customFormat="false" ht="66.75" hidden="false" customHeight="true" outlineLevel="0" collapsed="false">
      <c r="A52" s="226"/>
      <c r="B52" s="226"/>
      <c r="C52" s="226"/>
      <c r="D52" s="226"/>
      <c r="E52" s="226"/>
      <c r="F52" s="252"/>
      <c r="G52" s="252"/>
      <c r="H52" s="253"/>
      <c r="I52" s="253"/>
      <c r="J52" s="227"/>
      <c r="K52" s="227"/>
      <c r="L52" s="227"/>
      <c r="M52" s="227"/>
      <c r="N52" s="227"/>
    </row>
    <row r="53" customFormat="false" ht="24.75" hidden="false" customHeight="true" outlineLevel="0" collapsed="false">
      <c r="A53" s="226"/>
      <c r="B53" s="226"/>
      <c r="C53" s="226"/>
      <c r="D53" s="226"/>
      <c r="E53" s="226"/>
      <c r="F53" s="252"/>
      <c r="G53" s="252"/>
      <c r="H53" s="253"/>
      <c r="I53" s="253"/>
      <c r="J53" s="227"/>
      <c r="K53" s="227"/>
      <c r="L53" s="227"/>
      <c r="M53" s="227"/>
      <c r="N53" s="227"/>
    </row>
    <row r="54" customFormat="false" ht="13" hidden="false" customHeight="false" outlineLevel="0" collapsed="false">
      <c r="A54" s="203" t="s">
        <v>321</v>
      </c>
    </row>
    <row r="55" customFormat="false" ht="13" hidden="false" customHeight="false" outlineLevel="0" collapsed="false">
      <c r="A55" s="224" t="s">
        <v>306</v>
      </c>
      <c r="B55" s="224"/>
      <c r="C55" s="224"/>
      <c r="D55" s="224"/>
      <c r="E55" s="224"/>
      <c r="F55" s="233" t="s">
        <v>307</v>
      </c>
      <c r="G55" s="233"/>
      <c r="H55" s="234" t="s">
        <v>308</v>
      </c>
      <c r="I55" s="234"/>
      <c r="J55" s="234"/>
      <c r="K55" s="234"/>
      <c r="L55" s="234"/>
    </row>
    <row r="56" customFormat="false" ht="13.5" hidden="false" customHeight="true" outlineLevel="0" collapsed="false">
      <c r="A56" s="254"/>
      <c r="B56" s="254"/>
      <c r="C56" s="254"/>
      <c r="D56" s="254"/>
      <c r="E56" s="254"/>
      <c r="F56" s="255"/>
      <c r="G56" s="255"/>
      <c r="H56" s="232"/>
      <c r="I56" s="232"/>
      <c r="J56" s="232"/>
      <c r="K56" s="232"/>
      <c r="L56" s="232"/>
    </row>
    <row r="57" customFormat="false" ht="32.25" hidden="false" customHeight="true" outlineLevel="0" collapsed="false">
      <c r="A57" s="254"/>
      <c r="B57" s="254"/>
      <c r="C57" s="254"/>
      <c r="D57" s="254"/>
      <c r="E57" s="254"/>
      <c r="F57" s="255"/>
      <c r="G57" s="255"/>
      <c r="H57" s="232"/>
      <c r="I57" s="232"/>
      <c r="J57" s="232"/>
      <c r="K57" s="232"/>
      <c r="L57" s="232"/>
    </row>
    <row r="58" customFormat="false" ht="13" hidden="false" customHeight="false" outlineLevel="0" collapsed="false">
      <c r="A58" s="254"/>
      <c r="B58" s="254"/>
      <c r="C58" s="254"/>
      <c r="D58" s="254"/>
      <c r="E58" s="254"/>
      <c r="F58" s="255"/>
      <c r="G58" s="255"/>
      <c r="H58" s="232"/>
      <c r="I58" s="232"/>
      <c r="J58" s="232"/>
      <c r="K58" s="232"/>
      <c r="L58" s="232"/>
    </row>
  </sheetData>
  <mergeCells count="100">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A25:E25"/>
    <mergeCell ref="F25:J25"/>
    <mergeCell ref="A26:E26"/>
    <mergeCell ref="F26:J26"/>
    <mergeCell ref="A27:E27"/>
    <mergeCell ref="F27:J27"/>
    <mergeCell ref="A30:E30"/>
    <mergeCell ref="F30:J30"/>
    <mergeCell ref="A31:E31"/>
    <mergeCell ref="F31:J31"/>
    <mergeCell ref="A32:E32"/>
    <mergeCell ref="F32:J32"/>
    <mergeCell ref="A33:E33"/>
    <mergeCell ref="F33:J33"/>
    <mergeCell ref="A34:E34"/>
    <mergeCell ref="F34:J34"/>
    <mergeCell ref="A35:E35"/>
    <mergeCell ref="F35:J35"/>
    <mergeCell ref="A38:E38"/>
    <mergeCell ref="F38:G38"/>
    <mergeCell ref="H38:L38"/>
    <mergeCell ref="A39:E39"/>
    <mergeCell ref="F39:G39"/>
    <mergeCell ref="H39:L39"/>
    <mergeCell ref="A40:E40"/>
    <mergeCell ref="F40:G40"/>
    <mergeCell ref="H40:L40"/>
    <mergeCell ref="A41:E41"/>
    <mergeCell ref="F41:G41"/>
    <mergeCell ref="H41:L41"/>
    <mergeCell ref="A44:E44"/>
    <mergeCell ref="F44:G44"/>
    <mergeCell ref="H44:L44"/>
    <mergeCell ref="A45:E45"/>
    <mergeCell ref="F45:G45"/>
    <mergeCell ref="H45:L45"/>
    <mergeCell ref="A46:E46"/>
    <mergeCell ref="F46:G46"/>
    <mergeCell ref="H46:L46"/>
    <mergeCell ref="A47:E47"/>
    <mergeCell ref="F47:G47"/>
    <mergeCell ref="H47:L47"/>
    <mergeCell ref="A50:E50"/>
    <mergeCell ref="F50:G50"/>
    <mergeCell ref="H50:I50"/>
    <mergeCell ref="J50:N50"/>
    <mergeCell ref="A51:E51"/>
    <mergeCell ref="F51:G51"/>
    <mergeCell ref="H51:I51"/>
    <mergeCell ref="J51:N51"/>
    <mergeCell ref="A52:E52"/>
    <mergeCell ref="F52:G52"/>
    <mergeCell ref="H52:I52"/>
    <mergeCell ref="J52:N52"/>
    <mergeCell ref="A53:E53"/>
    <mergeCell ref="F53:G53"/>
    <mergeCell ref="H53:I53"/>
    <mergeCell ref="J53:N53"/>
    <mergeCell ref="A55:E55"/>
    <mergeCell ref="F55:G55"/>
    <mergeCell ref="H55:L55"/>
    <mergeCell ref="A56:E56"/>
    <mergeCell ref="F56:G56"/>
    <mergeCell ref="H56:L56"/>
    <mergeCell ref="A57:E57"/>
    <mergeCell ref="F57:G57"/>
    <mergeCell ref="H57:L57"/>
    <mergeCell ref="A58:E58"/>
    <mergeCell ref="F58:G58"/>
    <mergeCell ref="H58:L58"/>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A1:O58"/>
  <sheetViews>
    <sheetView showFormulas="false" showGridLines="true" showRowColHeaders="true" showZeros="true" rightToLeft="false" tabSelected="false" showOutlineSymbols="true" defaultGridColor="true" view="normal" topLeftCell="A15" colorId="64" zoomScale="100" zoomScaleNormal="100" zoomScalePageLayoutView="100" workbookViewId="0">
      <selection pane="topLeft" activeCell="G16" activeCellId="0" sqref="G16"/>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1" customFormat="false" ht="13" hidden="false" customHeight="false" outlineLevel="0" collapsed="false">
      <c r="A1" s="126" t="s">
        <v>0</v>
      </c>
      <c r="B1" s="127"/>
    </row>
    <row r="2" customFormat="false" ht="13" hidden="false" customHeight="false" outlineLevel="0" collapsed="false">
      <c r="A2" s="201" t="s">
        <v>2</v>
      </c>
      <c r="B2" s="202" t="str">
        <f aca="false">Metrics!B3</f>
        <v>Tier-1</v>
      </c>
    </row>
    <row r="3" customFormat="false" ht="13" hidden="false" customHeight="false" outlineLevel="0" collapsed="false">
      <c r="A3" s="8" t="s">
        <v>5</v>
      </c>
      <c r="B3" s="9" t="str">
        <f aca="false">Metrics!B4</f>
        <v>Q3 19</v>
      </c>
    </row>
    <row r="4" customFormat="false" ht="13" hidden="false" customHeight="false" outlineLevel="0" collapsed="false">
      <c r="A4" s="15" t="s">
        <v>8</v>
      </c>
      <c r="B4" s="16" t="str">
        <f aca="false">Metrics!B5</f>
        <v>Darren Moore</v>
      </c>
    </row>
    <row r="6" customFormat="false" ht="13" hidden="false" customHeight="false" outlineLevel="0" collapsed="false">
      <c r="A6" s="203" t="s">
        <v>261</v>
      </c>
    </row>
    <row r="7" customFormat="false" ht="16.5" hidden="false" customHeight="true" outlineLevel="0" collapsed="false">
      <c r="A7" s="204" t="s">
        <v>236</v>
      </c>
      <c r="B7" s="205" t="s">
        <v>262</v>
      </c>
      <c r="C7" s="205"/>
      <c r="D7" s="205"/>
      <c r="E7" s="205"/>
      <c r="F7" s="205"/>
      <c r="G7" s="206" t="s">
        <v>263</v>
      </c>
      <c r="H7" s="206"/>
      <c r="I7" s="206"/>
      <c r="J7" s="206"/>
      <c r="K7" s="206"/>
    </row>
    <row r="8" customFormat="false" ht="122.25" hidden="false" customHeight="true" outlineLevel="0" collapsed="false">
      <c r="A8" s="207" t="s">
        <v>264</v>
      </c>
      <c r="B8" s="208" t="s">
        <v>331</v>
      </c>
      <c r="C8" s="208"/>
      <c r="D8" s="208"/>
      <c r="E8" s="208"/>
      <c r="F8" s="208"/>
      <c r="G8" s="209"/>
      <c r="H8" s="209"/>
      <c r="I8" s="209"/>
      <c r="J8" s="209"/>
      <c r="K8" s="209"/>
      <c r="N8" s="210"/>
    </row>
    <row r="9" customFormat="false" ht="217.5" hidden="false" customHeight="true" outlineLevel="0" collapsed="false">
      <c r="A9" s="211" t="s">
        <v>249</v>
      </c>
      <c r="B9" s="212"/>
      <c r="C9" s="212"/>
      <c r="D9" s="212"/>
      <c r="E9" s="212"/>
      <c r="F9" s="212"/>
      <c r="G9" s="213"/>
      <c r="H9" s="213"/>
      <c r="I9" s="213"/>
      <c r="J9" s="213"/>
      <c r="K9" s="213"/>
    </row>
    <row r="10" customFormat="false" ht="143.25" hidden="false" customHeight="true" outlineLevel="0" collapsed="false">
      <c r="A10" s="211" t="s">
        <v>266</v>
      </c>
      <c r="B10" s="212"/>
      <c r="C10" s="212"/>
      <c r="D10" s="212"/>
      <c r="E10" s="212"/>
      <c r="F10" s="212"/>
      <c r="G10" s="213"/>
      <c r="H10" s="213"/>
      <c r="I10" s="213"/>
      <c r="J10" s="213"/>
      <c r="K10" s="213"/>
    </row>
    <row r="11" customFormat="false" ht="241.5" hidden="false" customHeight="true" outlineLevel="0" collapsed="false">
      <c r="A11" s="211" t="s">
        <v>269</v>
      </c>
      <c r="B11" s="212"/>
      <c r="C11" s="212"/>
      <c r="D11" s="212"/>
      <c r="E11" s="212"/>
      <c r="F11" s="212"/>
      <c r="G11" s="213"/>
      <c r="H11" s="213"/>
      <c r="I11" s="213"/>
      <c r="J11" s="213"/>
      <c r="K11" s="213"/>
    </row>
    <row r="12" customFormat="false" ht="351.75" hidden="false" customHeight="true" outlineLevel="0" collapsed="false">
      <c r="A12" s="211" t="s">
        <v>271</v>
      </c>
      <c r="B12" s="212" t="s">
        <v>332</v>
      </c>
      <c r="C12" s="212"/>
      <c r="D12" s="212"/>
      <c r="E12" s="212"/>
      <c r="F12" s="212"/>
      <c r="G12" s="214"/>
      <c r="H12" s="214"/>
      <c r="I12" s="214"/>
      <c r="J12" s="214"/>
      <c r="K12" s="214"/>
    </row>
    <row r="13" customFormat="false" ht="309" hidden="false" customHeight="true" outlineLevel="0" collapsed="false">
      <c r="A13" s="211" t="s">
        <v>273</v>
      </c>
      <c r="B13" s="215"/>
      <c r="C13" s="215"/>
      <c r="D13" s="215"/>
      <c r="E13" s="215"/>
      <c r="F13" s="215"/>
      <c r="G13" s="214" t="s">
        <v>333</v>
      </c>
      <c r="H13" s="214"/>
      <c r="I13" s="214"/>
      <c r="J13" s="214"/>
      <c r="K13" s="214"/>
    </row>
    <row r="14" customFormat="false" ht="129.75" hidden="false" customHeight="true" outlineLevel="0" collapsed="false">
      <c r="A14" s="211" t="s">
        <v>274</v>
      </c>
      <c r="B14" s="212" t="s">
        <v>325</v>
      </c>
      <c r="C14" s="212"/>
      <c r="D14" s="212"/>
      <c r="E14" s="212"/>
      <c r="F14" s="212"/>
      <c r="G14" s="214" t="s">
        <v>334</v>
      </c>
      <c r="H14" s="214"/>
      <c r="I14" s="214"/>
      <c r="J14" s="214"/>
      <c r="K14" s="214"/>
    </row>
    <row r="15" customFormat="false" ht="176.25" hidden="false" customHeight="true" outlineLevel="0" collapsed="false">
      <c r="A15" s="211" t="s">
        <v>276</v>
      </c>
      <c r="B15" s="212"/>
      <c r="C15" s="212"/>
      <c r="D15" s="212"/>
      <c r="E15" s="212"/>
      <c r="F15" s="212"/>
      <c r="G15" s="216"/>
      <c r="H15" s="216"/>
      <c r="I15" s="216"/>
      <c r="J15" s="216"/>
      <c r="K15" s="216"/>
    </row>
    <row r="16" customFormat="false" ht="212.25" hidden="false" customHeight="true" outlineLevel="0" collapsed="false">
      <c r="A16" s="211" t="s">
        <v>278</v>
      </c>
      <c r="B16" s="212" t="s">
        <v>335</v>
      </c>
      <c r="C16" s="212"/>
      <c r="D16" s="212"/>
      <c r="E16" s="212"/>
      <c r="F16" s="212"/>
      <c r="G16" s="214" t="s">
        <v>336</v>
      </c>
      <c r="H16" s="214"/>
      <c r="I16" s="214"/>
      <c r="J16" s="214"/>
      <c r="K16" s="214"/>
    </row>
    <row r="17" customFormat="false" ht="409.5" hidden="false" customHeight="true" outlineLevel="0" collapsed="false">
      <c r="A17" s="211" t="s">
        <v>280</v>
      </c>
      <c r="B17" s="212" t="s">
        <v>337</v>
      </c>
      <c r="C17" s="212"/>
      <c r="D17" s="212"/>
      <c r="E17" s="212"/>
      <c r="F17" s="212"/>
      <c r="G17" s="214"/>
      <c r="H17" s="214"/>
      <c r="I17" s="214"/>
      <c r="J17" s="214"/>
      <c r="K17" s="214"/>
    </row>
    <row r="18" customFormat="false" ht="248.25" hidden="false" customHeight="true" outlineLevel="0" collapsed="false">
      <c r="A18" s="217" t="s">
        <v>282</v>
      </c>
      <c r="B18" s="218"/>
      <c r="C18" s="218"/>
      <c r="D18" s="218"/>
      <c r="E18" s="218"/>
      <c r="F18" s="218"/>
      <c r="G18" s="219"/>
      <c r="H18" s="219"/>
      <c r="I18" s="219"/>
      <c r="J18" s="219"/>
      <c r="K18" s="219"/>
    </row>
    <row r="19" customFormat="false" ht="146.25" hidden="false" customHeight="true" outlineLevel="0" collapsed="false">
      <c r="A19" s="217" t="s">
        <v>283</v>
      </c>
      <c r="B19" s="220"/>
      <c r="C19" s="220"/>
      <c r="D19" s="220"/>
      <c r="E19" s="220"/>
      <c r="F19" s="220"/>
      <c r="G19" s="221"/>
      <c r="H19" s="221"/>
      <c r="I19" s="221"/>
      <c r="J19" s="221"/>
      <c r="K19" s="221"/>
    </row>
    <row r="20" customFormat="false" ht="146.25" hidden="false" customHeight="true" outlineLevel="0" collapsed="false">
      <c r="A20" s="217" t="s">
        <v>284</v>
      </c>
      <c r="B20" s="222" t="s">
        <v>285</v>
      </c>
      <c r="C20" s="222"/>
      <c r="D20" s="222"/>
      <c r="E20" s="222"/>
      <c r="F20" s="222"/>
      <c r="G20" s="223"/>
      <c r="H20" s="223"/>
      <c r="I20" s="223"/>
      <c r="J20" s="223"/>
      <c r="K20" s="223"/>
    </row>
    <row r="21" customFormat="false" ht="180" hidden="false" customHeight="true" outlineLevel="0" collapsed="false">
      <c r="A21" s="217" t="s">
        <v>287</v>
      </c>
      <c r="B21" s="218"/>
      <c r="C21" s="218"/>
      <c r="D21" s="218"/>
      <c r="E21" s="218"/>
      <c r="F21" s="218"/>
      <c r="G21" s="219"/>
      <c r="H21" s="219"/>
      <c r="I21" s="219"/>
      <c r="J21" s="219"/>
      <c r="K21" s="219"/>
    </row>
    <row r="22" customFormat="false" ht="13" hidden="false" customHeight="false" outlineLevel="0" collapsed="false">
      <c r="A22" s="0" t="s">
        <v>288</v>
      </c>
    </row>
    <row r="24" customFormat="false" ht="13" hidden="false" customHeight="false" outlineLevel="0" collapsed="false">
      <c r="A24" s="203" t="s">
        <v>289</v>
      </c>
    </row>
    <row r="25" customFormat="false" ht="13" hidden="false" customHeight="false" outlineLevel="0" collapsed="false">
      <c r="A25" s="224" t="s">
        <v>290</v>
      </c>
      <c r="B25" s="224"/>
      <c r="C25" s="224"/>
      <c r="D25" s="224"/>
      <c r="E25" s="224"/>
      <c r="F25" s="225" t="s">
        <v>291</v>
      </c>
      <c r="G25" s="225"/>
      <c r="H25" s="225"/>
      <c r="I25" s="225"/>
      <c r="J25" s="225"/>
    </row>
    <row r="26" customFormat="false" ht="81" hidden="false" customHeight="true" outlineLevel="0" collapsed="false">
      <c r="A26" s="226" t="s">
        <v>292</v>
      </c>
      <c r="B26" s="226"/>
      <c r="C26" s="226"/>
      <c r="D26" s="226"/>
      <c r="E26" s="226"/>
      <c r="F26" s="227" t="s">
        <v>293</v>
      </c>
      <c r="G26" s="227"/>
      <c r="H26" s="227"/>
      <c r="I26" s="227"/>
      <c r="J26" s="227"/>
    </row>
    <row r="27" customFormat="false" ht="13" hidden="false" customHeight="false" outlineLevel="0" collapsed="false">
      <c r="A27" s="228"/>
      <c r="B27" s="228"/>
      <c r="C27" s="228"/>
      <c r="D27" s="228"/>
      <c r="E27" s="228"/>
      <c r="F27" s="229"/>
      <c r="G27" s="229"/>
      <c r="H27" s="229"/>
      <c r="I27" s="229"/>
      <c r="J27" s="229"/>
    </row>
    <row r="29" customFormat="false" ht="13" hidden="false" customHeight="false" outlineLevel="0" collapsed="false">
      <c r="A29" s="203" t="s">
        <v>294</v>
      </c>
    </row>
    <row r="30" customFormat="false" ht="13" hidden="false" customHeight="false" outlineLevel="0" collapsed="false">
      <c r="A30" s="224" t="s">
        <v>290</v>
      </c>
      <c r="B30" s="224"/>
      <c r="C30" s="224"/>
      <c r="D30" s="224"/>
      <c r="E30" s="224"/>
      <c r="F30" s="225" t="s">
        <v>291</v>
      </c>
      <c r="G30" s="225"/>
      <c r="H30" s="225"/>
      <c r="I30" s="225"/>
      <c r="J30" s="225"/>
    </row>
    <row r="31" customFormat="false" ht="93" hidden="false" customHeight="true" outlineLevel="0" collapsed="false">
      <c r="A31" s="226" t="s">
        <v>295</v>
      </c>
      <c r="B31" s="226"/>
      <c r="C31" s="226"/>
      <c r="D31" s="226"/>
      <c r="E31" s="226"/>
      <c r="F31" s="230" t="s">
        <v>296</v>
      </c>
      <c r="G31" s="230"/>
      <c r="H31" s="230"/>
      <c r="I31" s="230"/>
      <c r="J31" s="230"/>
    </row>
    <row r="32" customFormat="false" ht="118.5" hidden="false" customHeight="true" outlineLevel="0" collapsed="false">
      <c r="A32" s="226" t="s">
        <v>297</v>
      </c>
      <c r="B32" s="226"/>
      <c r="C32" s="226"/>
      <c r="D32" s="226"/>
      <c r="E32" s="226"/>
      <c r="F32" s="230" t="s">
        <v>298</v>
      </c>
      <c r="G32" s="230"/>
      <c r="H32" s="230"/>
      <c r="I32" s="230"/>
      <c r="J32" s="230"/>
    </row>
    <row r="33" customFormat="false" ht="93" hidden="false" customHeight="true" outlineLevel="0" collapsed="false">
      <c r="A33" s="226" t="s">
        <v>338</v>
      </c>
      <c r="B33" s="226"/>
      <c r="C33" s="226"/>
      <c r="D33" s="226"/>
      <c r="E33" s="226"/>
      <c r="F33" s="230" t="s">
        <v>300</v>
      </c>
      <c r="G33" s="230"/>
      <c r="H33" s="230"/>
      <c r="I33" s="230"/>
      <c r="J33" s="230"/>
    </row>
    <row r="34" customFormat="false" ht="93" hidden="false" customHeight="true" outlineLevel="0" collapsed="false">
      <c r="A34" s="226" t="s">
        <v>301</v>
      </c>
      <c r="B34" s="226"/>
      <c r="C34" s="226"/>
      <c r="D34" s="226"/>
      <c r="E34" s="226"/>
      <c r="F34" s="230" t="s">
        <v>302</v>
      </c>
      <c r="G34" s="230"/>
      <c r="H34" s="230"/>
      <c r="I34" s="230"/>
      <c r="J34" s="230"/>
    </row>
    <row r="35" customFormat="false" ht="135" hidden="false" customHeight="true" outlineLevel="0" collapsed="false">
      <c r="A35" s="231" t="s">
        <v>303</v>
      </c>
      <c r="B35" s="231"/>
      <c r="C35" s="231"/>
      <c r="D35" s="231"/>
      <c r="E35" s="231"/>
      <c r="F35" s="232" t="s">
        <v>304</v>
      </c>
      <c r="G35" s="232"/>
      <c r="H35" s="232"/>
      <c r="I35" s="232"/>
      <c r="J35" s="232"/>
    </row>
    <row r="37" customFormat="false" ht="13" hidden="false" customHeight="false" outlineLevel="0" collapsed="false">
      <c r="A37" s="203" t="s">
        <v>305</v>
      </c>
    </row>
    <row r="38" customFormat="false" ht="13" hidden="false" customHeight="false" outlineLevel="0" collapsed="false">
      <c r="A38" s="224" t="s">
        <v>306</v>
      </c>
      <c r="B38" s="224"/>
      <c r="C38" s="224"/>
      <c r="D38" s="224"/>
      <c r="E38" s="224"/>
      <c r="F38" s="233" t="s">
        <v>307</v>
      </c>
      <c r="G38" s="233"/>
      <c r="H38" s="234" t="s">
        <v>308</v>
      </c>
      <c r="I38" s="234"/>
      <c r="J38" s="234"/>
      <c r="K38" s="234"/>
      <c r="L38" s="234"/>
    </row>
    <row r="39" customFormat="false" ht="115.5" hidden="false" customHeight="true" outlineLevel="0" collapsed="false">
      <c r="A39" s="235" t="s">
        <v>309</v>
      </c>
      <c r="B39" s="235"/>
      <c r="C39" s="235"/>
      <c r="D39" s="235"/>
      <c r="E39" s="235"/>
      <c r="F39" s="236" t="s">
        <v>310</v>
      </c>
      <c r="G39" s="236"/>
      <c r="H39" s="227" t="s">
        <v>221</v>
      </c>
      <c r="I39" s="227"/>
      <c r="J39" s="227"/>
      <c r="K39" s="227"/>
      <c r="L39" s="227"/>
    </row>
    <row r="40" customFormat="false" ht="115.5" hidden="false" customHeight="true" outlineLevel="0" collapsed="false">
      <c r="A40" s="237"/>
      <c r="B40" s="237"/>
      <c r="C40" s="237"/>
      <c r="D40" s="237"/>
      <c r="E40" s="237"/>
      <c r="F40" s="238"/>
      <c r="G40" s="238"/>
      <c r="H40" s="239"/>
      <c r="I40" s="239"/>
      <c r="J40" s="239"/>
      <c r="K40" s="239"/>
      <c r="L40" s="239"/>
    </row>
    <row r="41" customFormat="false" ht="115.5" hidden="false" customHeight="true" outlineLevel="0" collapsed="false">
      <c r="A41" s="240"/>
      <c r="B41" s="240"/>
      <c r="C41" s="240"/>
      <c r="D41" s="240"/>
      <c r="E41" s="240"/>
      <c r="F41" s="241"/>
      <c r="G41" s="241"/>
      <c r="H41" s="242"/>
      <c r="I41" s="242"/>
      <c r="J41" s="242"/>
      <c r="K41" s="242"/>
      <c r="L41" s="242"/>
    </row>
    <row r="42" customFormat="false" ht="24.75" hidden="false" customHeight="true" outlineLevel="0" collapsed="false">
      <c r="O42" s="243"/>
    </row>
    <row r="43" customFormat="false" ht="24.75" hidden="false" customHeight="true" outlineLevel="0" collapsed="false">
      <c r="A43" s="203" t="s">
        <v>311</v>
      </c>
      <c r="O43" s="243"/>
    </row>
    <row r="44" customFormat="false" ht="24.75" hidden="false" customHeight="true" outlineLevel="0" collapsed="false">
      <c r="A44" s="224" t="s">
        <v>306</v>
      </c>
      <c r="B44" s="224"/>
      <c r="C44" s="224"/>
      <c r="D44" s="224"/>
      <c r="E44" s="224"/>
      <c r="F44" s="233" t="s">
        <v>307</v>
      </c>
      <c r="G44" s="233"/>
      <c r="H44" s="234" t="s">
        <v>312</v>
      </c>
      <c r="I44" s="234"/>
      <c r="J44" s="234"/>
      <c r="K44" s="234"/>
      <c r="L44" s="234"/>
      <c r="O44" s="243"/>
    </row>
    <row r="45" customFormat="false" ht="115.5" hidden="false" customHeight="true" outlineLevel="0" collapsed="false">
      <c r="A45" s="237" t="s">
        <v>313</v>
      </c>
      <c r="B45" s="237"/>
      <c r="C45" s="237"/>
      <c r="D45" s="237"/>
      <c r="E45" s="237"/>
      <c r="F45" s="238" t="s">
        <v>314</v>
      </c>
      <c r="G45" s="238"/>
      <c r="H45" s="239"/>
      <c r="I45" s="239"/>
      <c r="J45" s="239"/>
      <c r="K45" s="239"/>
      <c r="L45" s="239"/>
    </row>
    <row r="46" customFormat="false" ht="115.5" hidden="false" customHeight="true" outlineLevel="0" collapsed="false">
      <c r="A46" s="240" t="s">
        <v>315</v>
      </c>
      <c r="B46" s="240"/>
      <c r="C46" s="240"/>
      <c r="D46" s="240"/>
      <c r="E46" s="240"/>
      <c r="F46" s="241" t="s">
        <v>316</v>
      </c>
      <c r="G46" s="241"/>
      <c r="H46" s="242"/>
      <c r="I46" s="242"/>
      <c r="J46" s="242"/>
      <c r="K46" s="242"/>
      <c r="L46" s="242"/>
    </row>
    <row r="47" customFormat="false" ht="115.5" hidden="false" customHeight="true" outlineLevel="0" collapsed="false">
      <c r="A47" s="240"/>
      <c r="B47" s="240"/>
      <c r="C47" s="240"/>
      <c r="D47" s="240"/>
      <c r="E47" s="240"/>
      <c r="F47" s="241"/>
      <c r="G47" s="241"/>
      <c r="H47" s="242"/>
      <c r="I47" s="242"/>
      <c r="J47" s="242"/>
      <c r="K47" s="242"/>
      <c r="L47" s="242"/>
    </row>
    <row r="49" customFormat="false" ht="24.75" hidden="false" customHeight="true" outlineLevel="0" collapsed="false">
      <c r="A49" s="203" t="s">
        <v>317</v>
      </c>
      <c r="O49" s="243"/>
    </row>
    <row r="50" customFormat="false" ht="24.75" hidden="false" customHeight="true" outlineLevel="0" collapsed="false">
      <c r="A50" s="244" t="s">
        <v>306</v>
      </c>
      <c r="B50" s="244"/>
      <c r="C50" s="244"/>
      <c r="D50" s="244"/>
      <c r="E50" s="244"/>
      <c r="F50" s="245" t="s">
        <v>318</v>
      </c>
      <c r="G50" s="245"/>
      <c r="H50" s="246" t="s">
        <v>319</v>
      </c>
      <c r="I50" s="246"/>
      <c r="J50" s="247" t="s">
        <v>320</v>
      </c>
      <c r="K50" s="247"/>
      <c r="L50" s="247"/>
      <c r="M50" s="247"/>
      <c r="N50" s="247"/>
      <c r="O50" s="243"/>
    </row>
    <row r="51" customFormat="false" ht="66.75" hidden="false" customHeight="true" outlineLevel="0" collapsed="false">
      <c r="A51" s="248"/>
      <c r="B51" s="248"/>
      <c r="C51" s="248"/>
      <c r="D51" s="248"/>
      <c r="E51" s="248"/>
      <c r="F51" s="249"/>
      <c r="G51" s="249"/>
      <c r="H51" s="250"/>
      <c r="I51" s="250"/>
      <c r="J51" s="251"/>
      <c r="K51" s="251"/>
      <c r="L51" s="251"/>
      <c r="M51" s="251"/>
      <c r="N51" s="251"/>
    </row>
    <row r="52" customFormat="false" ht="66.75" hidden="false" customHeight="true" outlineLevel="0" collapsed="false">
      <c r="A52" s="226"/>
      <c r="B52" s="226"/>
      <c r="C52" s="226"/>
      <c r="D52" s="226"/>
      <c r="E52" s="226"/>
      <c r="F52" s="252"/>
      <c r="G52" s="252"/>
      <c r="H52" s="253"/>
      <c r="I52" s="253"/>
      <c r="J52" s="227"/>
      <c r="K52" s="227"/>
      <c r="L52" s="227"/>
      <c r="M52" s="227"/>
      <c r="N52" s="227"/>
    </row>
    <row r="53" customFormat="false" ht="24.75" hidden="false" customHeight="true" outlineLevel="0" collapsed="false">
      <c r="A53" s="226"/>
      <c r="B53" s="226"/>
      <c r="C53" s="226"/>
      <c r="D53" s="226"/>
      <c r="E53" s="226"/>
      <c r="F53" s="252"/>
      <c r="G53" s="252"/>
      <c r="H53" s="253"/>
      <c r="I53" s="253"/>
      <c r="J53" s="227"/>
      <c r="K53" s="227"/>
      <c r="L53" s="227"/>
      <c r="M53" s="227"/>
      <c r="N53" s="227"/>
    </row>
    <row r="54" customFormat="false" ht="13" hidden="false" customHeight="false" outlineLevel="0" collapsed="false">
      <c r="A54" s="203" t="s">
        <v>321</v>
      </c>
    </row>
    <row r="55" customFormat="false" ht="13" hidden="false" customHeight="false" outlineLevel="0" collapsed="false">
      <c r="A55" s="224" t="s">
        <v>306</v>
      </c>
      <c r="B55" s="224"/>
      <c r="C55" s="224"/>
      <c r="D55" s="224"/>
      <c r="E55" s="224"/>
      <c r="F55" s="233" t="s">
        <v>307</v>
      </c>
      <c r="G55" s="233"/>
      <c r="H55" s="234" t="s">
        <v>308</v>
      </c>
      <c r="I55" s="234"/>
      <c r="J55" s="234"/>
      <c r="K55" s="234"/>
      <c r="L55" s="234"/>
    </row>
    <row r="56" customFormat="false" ht="13.5" hidden="false" customHeight="true" outlineLevel="0" collapsed="false">
      <c r="A56" s="254"/>
      <c r="B56" s="254"/>
      <c r="C56" s="254"/>
      <c r="D56" s="254"/>
      <c r="E56" s="254"/>
      <c r="F56" s="255"/>
      <c r="G56" s="255"/>
      <c r="H56" s="232"/>
      <c r="I56" s="232"/>
      <c r="J56" s="232"/>
      <c r="K56" s="232"/>
      <c r="L56" s="232"/>
    </row>
    <row r="57" customFormat="false" ht="32.25" hidden="false" customHeight="true" outlineLevel="0" collapsed="false">
      <c r="A57" s="254"/>
      <c r="B57" s="254"/>
      <c r="C57" s="254"/>
      <c r="D57" s="254"/>
      <c r="E57" s="254"/>
      <c r="F57" s="255"/>
      <c r="G57" s="255"/>
      <c r="H57" s="232"/>
      <c r="I57" s="232"/>
      <c r="J57" s="232"/>
      <c r="K57" s="232"/>
      <c r="L57" s="232"/>
    </row>
    <row r="58" customFormat="false" ht="13" hidden="false" customHeight="false" outlineLevel="0" collapsed="false">
      <c r="A58" s="254"/>
      <c r="B58" s="254"/>
      <c r="C58" s="254"/>
      <c r="D58" s="254"/>
      <c r="E58" s="254"/>
      <c r="F58" s="255"/>
      <c r="G58" s="255"/>
      <c r="H58" s="232"/>
      <c r="I58" s="232"/>
      <c r="J58" s="232"/>
      <c r="K58" s="232"/>
      <c r="L58" s="232"/>
    </row>
  </sheetData>
  <mergeCells count="100">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A25:E25"/>
    <mergeCell ref="F25:J25"/>
    <mergeCell ref="A26:E26"/>
    <mergeCell ref="F26:J26"/>
    <mergeCell ref="A27:E27"/>
    <mergeCell ref="F27:J27"/>
    <mergeCell ref="A30:E30"/>
    <mergeCell ref="F30:J30"/>
    <mergeCell ref="A31:E31"/>
    <mergeCell ref="F31:J31"/>
    <mergeCell ref="A32:E32"/>
    <mergeCell ref="F32:J32"/>
    <mergeCell ref="A33:E33"/>
    <mergeCell ref="F33:J33"/>
    <mergeCell ref="A34:E34"/>
    <mergeCell ref="F34:J34"/>
    <mergeCell ref="A35:E35"/>
    <mergeCell ref="F35:J35"/>
    <mergeCell ref="A38:E38"/>
    <mergeCell ref="F38:G38"/>
    <mergeCell ref="H38:L38"/>
    <mergeCell ref="A39:E39"/>
    <mergeCell ref="F39:G39"/>
    <mergeCell ref="H39:L39"/>
    <mergeCell ref="A40:E40"/>
    <mergeCell ref="F40:G40"/>
    <mergeCell ref="H40:L40"/>
    <mergeCell ref="A41:E41"/>
    <mergeCell ref="F41:G41"/>
    <mergeCell ref="H41:L41"/>
    <mergeCell ref="A44:E44"/>
    <mergeCell ref="F44:G44"/>
    <mergeCell ref="H44:L44"/>
    <mergeCell ref="A45:E45"/>
    <mergeCell ref="F45:G45"/>
    <mergeCell ref="H45:L45"/>
    <mergeCell ref="A46:E46"/>
    <mergeCell ref="F46:G46"/>
    <mergeCell ref="H46:L46"/>
    <mergeCell ref="A47:E47"/>
    <mergeCell ref="F47:G47"/>
    <mergeCell ref="H47:L47"/>
    <mergeCell ref="A50:E50"/>
    <mergeCell ref="F50:G50"/>
    <mergeCell ref="H50:I50"/>
    <mergeCell ref="J50:N50"/>
    <mergeCell ref="A51:E51"/>
    <mergeCell ref="F51:G51"/>
    <mergeCell ref="H51:I51"/>
    <mergeCell ref="J51:N51"/>
    <mergeCell ref="A52:E52"/>
    <mergeCell ref="F52:G52"/>
    <mergeCell ref="H52:I52"/>
    <mergeCell ref="J52:N52"/>
    <mergeCell ref="A53:E53"/>
    <mergeCell ref="F53:G53"/>
    <mergeCell ref="H53:I53"/>
    <mergeCell ref="J53:N53"/>
    <mergeCell ref="A55:E55"/>
    <mergeCell ref="F55:G55"/>
    <mergeCell ref="H55:L55"/>
    <mergeCell ref="A56:E56"/>
    <mergeCell ref="F56:G56"/>
    <mergeCell ref="H56:L56"/>
    <mergeCell ref="A57:E57"/>
    <mergeCell ref="F57:G57"/>
    <mergeCell ref="H57:L57"/>
    <mergeCell ref="A58:E58"/>
    <mergeCell ref="F58:G58"/>
    <mergeCell ref="H58:L58"/>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B2:M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R19" activeCellId="0" sqref="R19"/>
    </sheetView>
  </sheetViews>
  <sheetFormatPr defaultRowHeight="13" zeroHeight="false" outlineLevelRow="0" outlineLevelCol="0"/>
  <cols>
    <col collapsed="false" customWidth="true" hidden="false" outlineLevel="0" max="1025" min="1" style="0" width="8.83"/>
  </cols>
  <sheetData>
    <row r="2" customFormat="false" ht="13" hidden="false" customHeight="false" outlineLevel="0" collapsed="false">
      <c r="B2" s="203" t="s">
        <v>339</v>
      </c>
    </row>
    <row r="3" customFormat="false" ht="13" hidden="false" customHeight="false" outlineLevel="0" collapsed="false">
      <c r="B3" s="224" t="s">
        <v>340</v>
      </c>
      <c r="C3" s="224"/>
      <c r="D3" s="224"/>
      <c r="E3" s="224"/>
      <c r="F3" s="224"/>
      <c r="G3" s="233" t="s">
        <v>341</v>
      </c>
      <c r="H3" s="233"/>
      <c r="I3" s="234" t="s">
        <v>342</v>
      </c>
      <c r="J3" s="234"/>
      <c r="K3" s="234"/>
      <c r="L3" s="234"/>
      <c r="M3" s="234"/>
    </row>
    <row r="4" customFormat="false" ht="13" hidden="false" customHeight="false" outlineLevel="0" collapsed="false">
      <c r="B4" s="256"/>
      <c r="C4" s="256"/>
      <c r="D4" s="256"/>
      <c r="E4" s="256"/>
      <c r="F4" s="256"/>
      <c r="G4" s="257"/>
      <c r="H4" s="257"/>
      <c r="I4" s="258"/>
      <c r="J4" s="258"/>
      <c r="K4" s="258"/>
      <c r="L4" s="258"/>
      <c r="M4" s="258"/>
    </row>
    <row r="5" customFormat="false" ht="13" hidden="false" customHeight="false" outlineLevel="0" collapsed="false">
      <c r="B5" s="259"/>
      <c r="C5" s="259"/>
      <c r="D5" s="259"/>
      <c r="E5" s="259"/>
      <c r="F5" s="259"/>
      <c r="G5" s="260"/>
      <c r="H5" s="260"/>
      <c r="I5" s="258"/>
      <c r="J5" s="258"/>
      <c r="K5" s="258"/>
      <c r="L5" s="258"/>
      <c r="M5" s="258"/>
    </row>
    <row r="6" customFormat="false" ht="13" hidden="false" customHeight="false" outlineLevel="0" collapsed="false">
      <c r="B6" s="224" t="s">
        <v>343</v>
      </c>
      <c r="C6" s="224"/>
      <c r="D6" s="224"/>
      <c r="E6" s="224"/>
      <c r="F6" s="224"/>
      <c r="G6" s="233" t="s">
        <v>341</v>
      </c>
      <c r="H6" s="233"/>
      <c r="I6" s="234" t="s">
        <v>342</v>
      </c>
      <c r="J6" s="234"/>
      <c r="K6" s="234"/>
      <c r="L6" s="234"/>
      <c r="M6" s="234"/>
    </row>
    <row r="7" customFormat="false" ht="13" hidden="false" customHeight="false" outlineLevel="0" collapsed="false">
      <c r="B7" s="261"/>
      <c r="C7" s="261"/>
      <c r="D7" s="261"/>
      <c r="E7" s="261"/>
      <c r="F7" s="261"/>
      <c r="G7" s="262"/>
      <c r="H7" s="262"/>
      <c r="I7" s="263"/>
      <c r="J7" s="263"/>
      <c r="K7" s="263"/>
      <c r="L7" s="263"/>
      <c r="M7" s="263"/>
    </row>
    <row r="8" customFormat="false" ht="13" hidden="false" customHeight="false" outlineLevel="0" collapsed="false">
      <c r="B8" s="259"/>
      <c r="C8" s="259"/>
      <c r="D8" s="259"/>
      <c r="E8" s="259"/>
      <c r="F8" s="259"/>
      <c r="G8" s="264"/>
      <c r="H8" s="264"/>
      <c r="I8" s="265"/>
      <c r="J8" s="265"/>
      <c r="K8" s="265"/>
      <c r="L8" s="265"/>
      <c r="M8" s="265"/>
    </row>
    <row r="9" customFormat="false" ht="13" hidden="false" customHeight="false" outlineLevel="0" collapsed="false">
      <c r="B9" s="224" t="s">
        <v>344</v>
      </c>
      <c r="C9" s="224"/>
      <c r="D9" s="224"/>
      <c r="E9" s="224"/>
      <c r="F9" s="224"/>
      <c r="G9" s="233" t="s">
        <v>341</v>
      </c>
      <c r="H9" s="233"/>
      <c r="I9" s="234" t="s">
        <v>342</v>
      </c>
      <c r="J9" s="234"/>
      <c r="K9" s="234"/>
      <c r="L9" s="234"/>
      <c r="M9" s="234"/>
    </row>
    <row r="10" customFormat="false" ht="13" hidden="false" customHeight="false" outlineLevel="0" collapsed="false">
      <c r="B10" s="261"/>
      <c r="C10" s="261"/>
      <c r="D10" s="261"/>
      <c r="E10" s="261"/>
      <c r="F10" s="261"/>
      <c r="G10" s="262"/>
      <c r="H10" s="262"/>
      <c r="I10" s="263"/>
      <c r="J10" s="263"/>
      <c r="K10" s="263"/>
      <c r="L10" s="263"/>
      <c r="M10" s="263"/>
    </row>
    <row r="11" customFormat="false" ht="13" hidden="false" customHeight="false" outlineLevel="0" collapsed="false">
      <c r="B11" s="259"/>
      <c r="C11" s="259"/>
      <c r="D11" s="259"/>
      <c r="E11" s="259"/>
      <c r="F11" s="259"/>
      <c r="G11" s="264"/>
      <c r="H11" s="264"/>
      <c r="I11" s="265"/>
      <c r="J11" s="265"/>
      <c r="K11" s="265"/>
      <c r="L11" s="265"/>
      <c r="M11" s="265"/>
    </row>
    <row r="12" customFormat="false" ht="13" hidden="false" customHeight="false" outlineLevel="0" collapsed="false">
      <c r="B12" s="224" t="s">
        <v>345</v>
      </c>
      <c r="C12" s="224"/>
      <c r="D12" s="224"/>
      <c r="E12" s="224"/>
      <c r="F12" s="224"/>
      <c r="G12" s="233" t="s">
        <v>341</v>
      </c>
      <c r="H12" s="233"/>
      <c r="I12" s="234" t="s">
        <v>342</v>
      </c>
      <c r="J12" s="234"/>
      <c r="K12" s="234"/>
      <c r="L12" s="234"/>
      <c r="M12" s="234"/>
    </row>
    <row r="13" customFormat="false" ht="13" hidden="false" customHeight="false" outlineLevel="0" collapsed="false">
      <c r="B13" s="261"/>
      <c r="C13" s="261"/>
      <c r="D13" s="261"/>
      <c r="E13" s="261"/>
      <c r="F13" s="261"/>
      <c r="G13" s="262"/>
      <c r="H13" s="262"/>
      <c r="I13" s="263"/>
      <c r="J13" s="263"/>
      <c r="K13" s="263"/>
      <c r="L13" s="263"/>
      <c r="M13" s="263"/>
    </row>
    <row r="14" customFormat="false" ht="13" hidden="false" customHeight="false" outlineLevel="0" collapsed="false">
      <c r="B14" s="259"/>
      <c r="C14" s="259"/>
      <c r="D14" s="259"/>
      <c r="E14" s="259"/>
      <c r="F14" s="259"/>
      <c r="G14" s="264"/>
      <c r="H14" s="264"/>
      <c r="I14" s="265"/>
      <c r="J14" s="265"/>
      <c r="K14" s="265"/>
      <c r="L14" s="265"/>
      <c r="M14" s="265"/>
    </row>
    <row r="15" customFormat="false" ht="13" hidden="false" customHeight="false" outlineLevel="0" collapsed="false">
      <c r="B15" s="224" t="s">
        <v>346</v>
      </c>
      <c r="C15" s="224"/>
      <c r="D15" s="224"/>
      <c r="E15" s="224"/>
      <c r="F15" s="224"/>
      <c r="G15" s="233" t="s">
        <v>341</v>
      </c>
      <c r="H15" s="233"/>
      <c r="I15" s="234" t="s">
        <v>342</v>
      </c>
      <c r="J15" s="234"/>
      <c r="K15" s="234"/>
      <c r="L15" s="234"/>
      <c r="M15" s="234"/>
    </row>
    <row r="16" customFormat="false" ht="13" hidden="false" customHeight="false" outlineLevel="0" collapsed="false">
      <c r="B16" s="261"/>
      <c r="C16" s="261"/>
      <c r="D16" s="261"/>
      <c r="E16" s="261"/>
      <c r="F16" s="261"/>
      <c r="G16" s="262"/>
      <c r="H16" s="262"/>
      <c r="I16" s="263"/>
      <c r="J16" s="263"/>
      <c r="K16" s="263"/>
      <c r="L16" s="263"/>
      <c r="M16" s="263"/>
    </row>
    <row r="17" customFormat="false" ht="13" hidden="false" customHeight="false" outlineLevel="0" collapsed="false">
      <c r="B17" s="259"/>
      <c r="C17" s="259"/>
      <c r="D17" s="259"/>
      <c r="E17" s="259"/>
      <c r="F17" s="259"/>
      <c r="G17" s="264"/>
      <c r="H17" s="264"/>
      <c r="I17" s="265"/>
      <c r="J17" s="265"/>
      <c r="K17" s="265"/>
      <c r="L17" s="265"/>
      <c r="M17" s="265"/>
    </row>
    <row r="18" customFormat="false" ht="13" hidden="false" customHeight="false" outlineLevel="0" collapsed="false">
      <c r="B18" s="224" t="s">
        <v>347</v>
      </c>
      <c r="C18" s="224"/>
      <c r="D18" s="224"/>
      <c r="E18" s="224"/>
      <c r="F18" s="224"/>
      <c r="G18" s="233" t="s">
        <v>341</v>
      </c>
      <c r="H18" s="233"/>
      <c r="I18" s="234" t="s">
        <v>342</v>
      </c>
      <c r="J18" s="234"/>
      <c r="K18" s="234"/>
      <c r="L18" s="234"/>
      <c r="M18" s="234"/>
    </row>
    <row r="19" customFormat="false" ht="13" hidden="false" customHeight="false" outlineLevel="0" collapsed="false">
      <c r="B19" s="261"/>
      <c r="C19" s="261"/>
      <c r="D19" s="261"/>
      <c r="E19" s="261"/>
      <c r="F19" s="261"/>
      <c r="G19" s="262"/>
      <c r="H19" s="262"/>
      <c r="I19" s="263"/>
      <c r="J19" s="263"/>
      <c r="K19" s="263"/>
      <c r="L19" s="263"/>
      <c r="M19" s="263"/>
    </row>
    <row r="20" customFormat="false" ht="13" hidden="false" customHeight="false" outlineLevel="0" collapsed="false">
      <c r="B20" s="259"/>
      <c r="C20" s="259"/>
      <c r="D20" s="259"/>
      <c r="E20" s="259"/>
      <c r="F20" s="259"/>
      <c r="G20" s="264"/>
      <c r="H20" s="264"/>
      <c r="I20" s="265"/>
      <c r="J20" s="265"/>
      <c r="K20" s="265"/>
      <c r="L20" s="265"/>
      <c r="M20" s="265"/>
    </row>
    <row r="21" customFormat="false" ht="13" hidden="false" customHeight="false" outlineLevel="0" collapsed="false">
      <c r="B21" s="224" t="s">
        <v>348</v>
      </c>
      <c r="C21" s="224"/>
      <c r="D21" s="224"/>
      <c r="E21" s="224"/>
      <c r="F21" s="224"/>
      <c r="G21" s="233" t="s">
        <v>341</v>
      </c>
      <c r="H21" s="233"/>
      <c r="I21" s="234" t="s">
        <v>342</v>
      </c>
      <c r="J21" s="234"/>
      <c r="K21" s="234"/>
      <c r="L21" s="234"/>
      <c r="M21" s="234"/>
    </row>
    <row r="22" customFormat="false" ht="13" hidden="false" customHeight="false" outlineLevel="0" collapsed="false">
      <c r="B22" s="261"/>
      <c r="C22" s="261"/>
      <c r="D22" s="261"/>
      <c r="E22" s="261"/>
      <c r="F22" s="261"/>
      <c r="G22" s="262"/>
      <c r="H22" s="262"/>
      <c r="I22" s="263"/>
      <c r="J22" s="263"/>
      <c r="K22" s="263"/>
      <c r="L22" s="263"/>
      <c r="M22" s="263"/>
    </row>
    <row r="23" customFormat="false" ht="13" hidden="false" customHeight="false" outlineLevel="0" collapsed="false">
      <c r="B23" s="259"/>
      <c r="C23" s="259"/>
      <c r="D23" s="259"/>
      <c r="E23" s="259"/>
      <c r="F23" s="259"/>
      <c r="G23" s="264"/>
      <c r="H23" s="264"/>
      <c r="I23" s="265"/>
      <c r="J23" s="265"/>
      <c r="K23" s="265"/>
      <c r="L23" s="265"/>
      <c r="M23" s="265"/>
    </row>
    <row r="24" customFormat="false" ht="13" hidden="false" customHeight="false" outlineLevel="0" collapsed="false">
      <c r="B24" s="224" t="s">
        <v>349</v>
      </c>
      <c r="C24" s="224"/>
      <c r="D24" s="224"/>
      <c r="E24" s="224"/>
      <c r="F24" s="224"/>
      <c r="G24" s="233" t="s">
        <v>341</v>
      </c>
      <c r="H24" s="233"/>
      <c r="I24" s="234" t="s">
        <v>342</v>
      </c>
      <c r="J24" s="234"/>
      <c r="K24" s="234"/>
      <c r="L24" s="234"/>
      <c r="M24" s="234"/>
    </row>
    <row r="25" customFormat="false" ht="13" hidden="false" customHeight="false" outlineLevel="0" collapsed="false">
      <c r="B25" s="261"/>
      <c r="C25" s="261"/>
      <c r="D25" s="261"/>
      <c r="E25" s="261"/>
      <c r="F25" s="261"/>
      <c r="G25" s="262"/>
      <c r="H25" s="262"/>
      <c r="I25" s="263"/>
      <c r="J25" s="263"/>
      <c r="K25" s="263"/>
      <c r="L25" s="263"/>
      <c r="M25" s="263"/>
    </row>
    <row r="26" customFormat="false" ht="13" hidden="false" customHeight="false" outlineLevel="0" collapsed="false">
      <c r="B26" s="259"/>
      <c r="C26" s="259"/>
      <c r="D26" s="259"/>
      <c r="E26" s="259"/>
      <c r="F26" s="259"/>
      <c r="G26" s="264"/>
      <c r="H26" s="264"/>
      <c r="I26" s="265"/>
      <c r="J26" s="265"/>
      <c r="K26" s="265"/>
      <c r="L26" s="265"/>
      <c r="M26" s="265"/>
    </row>
    <row r="27" customFormat="false" ht="13" hidden="false" customHeight="false" outlineLevel="0" collapsed="false">
      <c r="B27" s="224" t="s">
        <v>350</v>
      </c>
      <c r="C27" s="224"/>
      <c r="D27" s="224"/>
      <c r="E27" s="224"/>
      <c r="F27" s="224"/>
      <c r="G27" s="233" t="s">
        <v>341</v>
      </c>
      <c r="H27" s="233"/>
      <c r="I27" s="234" t="s">
        <v>342</v>
      </c>
      <c r="J27" s="234"/>
      <c r="K27" s="234"/>
      <c r="L27" s="234"/>
      <c r="M27" s="234"/>
    </row>
    <row r="28" customFormat="false" ht="13" hidden="false" customHeight="false" outlineLevel="0" collapsed="false">
      <c r="B28" s="261"/>
      <c r="C28" s="261"/>
      <c r="D28" s="261"/>
      <c r="E28" s="261"/>
      <c r="F28" s="261"/>
      <c r="G28" s="262"/>
      <c r="H28" s="262"/>
      <c r="I28" s="263"/>
      <c r="J28" s="263"/>
      <c r="K28" s="263"/>
      <c r="L28" s="263"/>
      <c r="M28" s="263"/>
    </row>
    <row r="29" customFormat="false" ht="13" hidden="false" customHeight="false" outlineLevel="0" collapsed="false">
      <c r="B29" s="259"/>
      <c r="C29" s="259"/>
      <c r="D29" s="259"/>
      <c r="E29" s="259"/>
      <c r="F29" s="259"/>
      <c r="G29" s="264"/>
      <c r="H29" s="264"/>
      <c r="I29" s="265"/>
      <c r="J29" s="265"/>
      <c r="K29" s="265"/>
      <c r="L29" s="265"/>
      <c r="M29" s="265"/>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TotalTime>
  <Application>LibreOffice/5.3.6.1$Linux_X86_64 LibreOffice_project/30$Build-1</Application>
  <Company>Queen Mary High Energy Physics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2006-07-17T09:56:01Z</dcterms:created>
  <dc:creator>Steve Lloyd</dc:creator>
  <dc:description/>
  <dc:language>en-GB</dc:language>
  <cp:lastModifiedBy/>
  <cp:lastPrinted>2016-05-25T14:55:34Z</cp:lastPrinted>
  <dcterms:modified xsi:type="dcterms:W3CDTF">2019-11-27T16:30:18Z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