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5.xml" ContentType="application/vnd.openxmlformats-officedocument.spreadsheetml.worksheet+xml"/>
  <Override PartName="/xl/worksheets/sheet4.xml" ContentType="application/vnd.openxmlformats-officedocument.spreadsheetml.worksheet+xml"/>
  <Override PartName="/xl/worksheets/_rels/sheet3.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omments3.xml" ContentType="application/vnd.openxmlformats-officedocument.spreadsheetml.comments+xml"/>
  <Override PartName="/xl/styles.xml" ContentType="application/vnd.openxmlformats-officedocument.spreadsheetml.styles+xml"/>
  <Override PartName="/xl/drawings/vmlDrawing1.vml" ContentType="application/vnd.openxmlformats-officedocument.vmlDrawing"/>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Metrics" sheetId="1" state="visible" r:id="rId2"/>
    <sheet name="Milestones" sheetId="2" state="visible" r:id="rId3"/>
    <sheet name="Manpower Q119" sheetId="3" state="visible" r:id="rId4"/>
    <sheet name="Narrative Q119" sheetId="4" state="visible" r:id="rId5"/>
    <sheet name="EVAL" sheetId="5" state="visible" r:id="rId6"/>
  </sheets>
  <definedNames>
    <definedName function="false" hidden="false" localSheetId="0" name="_xlnm._FilterDatabase" vbProcedure="false">Metrics!$A$8:$K$40</definedName>
    <definedName function="false" hidden="false" localSheetId="1" name="_xlnm._FilterDatabase" vbProcedure="false">Milestones!$8:$30</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
  </authors>
  <commentList>
    <comment ref="B21" authorId="0">
      <text>
        <r>
          <rPr>
            <b val="true"/>
            <sz val="9"/>
            <color rgb="FF000000"/>
            <rFont val="Tahoma"/>
            <family val="2"/>
            <charset val="1"/>
          </rPr>
          <t xml:space="preserve">gronbech:
</t>
        </r>
        <r>
          <rPr>
            <sz val="9"/>
            <color rgb="FF000000"/>
            <rFont val="Tahoma"/>
            <family val="2"/>
            <charset val="1"/>
          </rPr>
          <t xml:space="preserve">expect 0.7FTE</t>
        </r>
      </text>
    </comment>
    <comment ref="B22" authorId="0">
      <text>
        <r>
          <rPr>
            <b val="true"/>
            <sz val="9"/>
            <color rgb="FF000000"/>
            <rFont val="Tahoma"/>
            <family val="2"/>
            <charset val="1"/>
          </rPr>
          <t xml:space="preserve">gronbech:
</t>
        </r>
        <r>
          <rPr>
            <sz val="9"/>
            <color rgb="FF000000"/>
            <rFont val="Tahoma"/>
            <family val="2"/>
            <charset val="1"/>
          </rPr>
          <t xml:space="preserve">Expect 0.3FTE</t>
        </r>
      </text>
    </comment>
  </commentList>
</comments>
</file>

<file path=xl/sharedStrings.xml><?xml version="1.0" encoding="utf-8"?>
<sst xmlns="http://schemas.openxmlformats.org/spreadsheetml/2006/main" count="467" uniqueCount="323">
  <si>
    <t xml:space="preserve">GridPP Quarterly Report</t>
  </si>
  <si>
    <t xml:space="preserve">OK</t>
  </si>
  <si>
    <t xml:space="preserve">Area</t>
  </si>
  <si>
    <t xml:space="preserve">Tier-1</t>
  </si>
  <si>
    <t xml:space="preserve">Close to target</t>
  </si>
  <si>
    <t xml:space="preserve">Quarter</t>
  </si>
  <si>
    <t xml:space="preserve">Q1 19</t>
  </si>
  <si>
    <t xml:space="preserve">Not OK</t>
  </si>
  <si>
    <t xml:space="preserve">Reported by</t>
  </si>
  <si>
    <t xml:space="preserve">Darren Moore</t>
  </si>
  <si>
    <t xml:space="preserve">Not yet able to be measured</t>
  </si>
  <si>
    <t xml:space="preserve">Suspended</t>
  </si>
  <si>
    <t xml:space="preserve">GridPP no.</t>
  </si>
  <si>
    <t xml:space="preserve">Tier-1 no.</t>
  </si>
  <si>
    <t xml:space="preserve">Description</t>
  </si>
  <si>
    <t xml:space="preserve">Source</t>
  </si>
  <si>
    <t xml:space="preserve">Owner</t>
  </si>
  <si>
    <t xml:space="preserve">Target</t>
  </si>
  <si>
    <t xml:space="preserve">Q117</t>
  </si>
  <si>
    <t xml:space="preserve">Q217</t>
  </si>
  <si>
    <t xml:space="preserve">Q317</t>
  </si>
  <si>
    <t xml:space="preserve">Q417</t>
  </si>
  <si>
    <t xml:space="preserve">Q118</t>
  </si>
  <si>
    <t xml:space="preserve">Q218</t>
  </si>
  <si>
    <t xml:space="preserve">Q318</t>
  </si>
  <si>
    <t xml:space="preserve">Q418</t>
  </si>
  <si>
    <t xml:space="preserve">Q119</t>
  </si>
  <si>
    <t xml:space="preserve">Comment Q117</t>
  </si>
  <si>
    <t xml:space="preserve">Comment Q217</t>
  </si>
  <si>
    <t xml:space="preserve">Comment Q317</t>
  </si>
  <si>
    <t xml:space="preserve">Comment Q417</t>
  </si>
  <si>
    <t xml:space="preserve">Comment Q118</t>
  </si>
  <si>
    <t xml:space="preserve">Comment Q218</t>
  </si>
  <si>
    <t xml:space="preserve">Comment Q318</t>
  </si>
  <si>
    <t xml:space="preserve">Comments Q418</t>
  </si>
  <si>
    <t xml:space="preserve">Comments Q119</t>
  </si>
  <si>
    <t xml:space="preserve">1.1.1</t>
  </si>
  <si>
    <t xml:space="preserve">1.2.7</t>
  </si>
  <si>
    <t xml:space="preserve">Fraction of WLCG MoU commitment for CPU 100 %</t>
  </si>
  <si>
    <t xml:space="preserve">Andrew Lahiff</t>
  </si>
  <si>
    <t xml:space="preserve">119%%</t>
  </si>
  <si>
    <t xml:space="preserve">&gt;100%</t>
  </si>
  <si>
    <t xml:space="preserve">Metrics recording process failed for this quarter</t>
  </si>
  <si>
    <t xml:space="preserve">1.1.2</t>
  </si>
  <si>
    <t xml:space="preserve">1.6.3</t>
  </si>
  <si>
    <t xml:space="preserve">% met of GRIDPP T1-RB allocation for CPU 100 %</t>
  </si>
  <si>
    <t xml:space="preserve">118%%</t>
  </si>
  <si>
    <t xml:space="preserve">1.1.3</t>
  </si>
  <si>
    <t xml:space="preserve">Availability of CE service 99 %</t>
  </si>
  <si>
    <t xml:space="preserve">Catalin Condurache</t>
  </si>
  <si>
    <t xml:space="preserve">1.1.4</t>
  </si>
  <si>
    <t xml:space="preserve">Number of Security Incidents 2 per year</t>
  </si>
  <si>
    <t xml:space="preserve">Gareth Smith</t>
  </si>
  <si>
    <t xml:space="preserve">Security Challenge Accepted</t>
  </si>
  <si>
    <t xml:space="preserve">1.1.5</t>
  </si>
  <si>
    <t xml:space="preserve"># level 3 incidents(newly entered or active) in disaster management system 0  </t>
  </si>
  <si>
    <t xml:space="preserve">Escalated problem LHCb had with Castor while running stipping/merging campain. Led to reverting LHCb Castor SRM upgrade.</t>
  </si>
  <si>
    <t xml:space="preserve">1.1.6</t>
  </si>
  <si>
    <t xml:space="preserve"># level 4 incidents (newly entered or active) in disaster management system 0  </t>
  </si>
  <si>
    <t xml:space="preserve">Andrew Sansum</t>
  </si>
  <si>
    <t xml:space="preserve">1.1.7</t>
  </si>
  <si>
    <t xml:space="preserve">Percentage of GRIDPP4 Staff in Post 93 %</t>
  </si>
  <si>
    <t xml:space="preserve">1.2.1</t>
  </si>
  <si>
    <t xml:space="preserve">1.2.8</t>
  </si>
  <si>
    <t xml:space="preserve">Fraction of WLCG MoU commitment for Disk 100 %</t>
  </si>
  <si>
    <t xml:space="preserve">1.2.2</t>
  </si>
  <si>
    <t xml:space="preserve">1.2.9</t>
  </si>
  <si>
    <t xml:space="preserve"> Fraction of WLCG MoU commitment for Tape 100 %</t>
  </si>
  <si>
    <t xml:space="preserve">There was a temporary shortage of tape during this quarter while we were sorting out a procurement of more tape media. During this time the free tape pool reduced and Atlas &amp; CMS deleted some files off tape for us to help.</t>
  </si>
  <si>
    <t xml:space="preserve">1.2.3</t>
  </si>
  <si>
    <t xml:space="preserve">1.6.1</t>
  </si>
  <si>
    <t xml:space="preserve">% met of GRIDPP T1RB Allocation for Tape   100 %</t>
  </si>
  <si>
    <t xml:space="preserve">100%%</t>
  </si>
  <si>
    <t xml:space="preserve">See comment above for metric 1.2.2.</t>
  </si>
  <si>
    <t xml:space="preserve">1.2.4</t>
  </si>
  <si>
    <t xml:space="preserve">1.6.2</t>
  </si>
  <si>
    <t xml:space="preserve">% met of GRIDPP T1RB Allocation for Disk  100 %</t>
  </si>
  <si>
    <t xml:space="preserve">There has been some delay getting storage into Echo.</t>
  </si>
  <si>
    <t xml:space="preserve">1.2.5</t>
  </si>
  <si>
    <t xml:space="preserve">7.1.3</t>
  </si>
  <si>
    <t xml:space="preserve"># Storage node failures leading to filesystem loss or damage</t>
  </si>
  <si>
    <t xml:space="preserve">Kashif Hafeez</t>
  </si>
  <si>
    <t xml:space="preserve">1.2.6</t>
  </si>
  <si>
    <t xml:space="preserve">7.1.4</t>
  </si>
  <si>
    <t xml:space="preserve">% Lost disk server hours due to hardware problems over deployed base</t>
  </si>
  <si>
    <t xml:space="preserve">&lt;1%</t>
  </si>
  <si>
    <t xml:space="preserve">Difficult to estimate.  No disk servers were out in Echo, but an increasing number are having problems in Castor.</t>
  </si>
  <si>
    <t xml:space="preserve">7.3.1</t>
  </si>
  <si>
    <t xml:space="preserve">Damaged tapes/month, leading to data loss </t>
  </si>
  <si>
    <t xml:space="preserve">Tim Folkes</t>
  </si>
  <si>
    <t xml:space="preserve">6 ATLAS files lost</t>
  </si>
  <si>
    <t xml:space="preserve">5.1.2</t>
  </si>
  <si>
    <t xml:space="preserve">CASTOR SAM tests: ATLAS VO</t>
  </si>
  <si>
    <t xml:space="preserve">Metric calculation changed in 12Q1 Now harder</t>
  </si>
  <si>
    <t xml:space="preserve">Rob Appleyard</t>
  </si>
  <si>
    <t xml:space="preserve">There were several spells of poor test results for Talas. The first (early Feb) coincided with a tape recall exercise and tests time out. There were then two further spells of test failures (late Feb, early March). We identified that the Atlas Test was not specifying a space token on write and then (depending on what else was going on) the file was not found in later stages of the SRM test.</t>
  </si>
  <si>
    <t xml:space="preserve">There was a problem around to 30th April/1st May when one of the Atlas disks filled up and we failed tests consistently. There were also intermittent test failures before the Castor Atlas 2.1.16 upgrade which was done on the 25th May.</t>
  </si>
  <si>
    <t xml:space="preserve">In first part of quarter there were problems that appeared in the SRMs that were thought to be due to Castor performance issues. The merging of the small AtlasScratchDisk pool into a larger disk pool alleviated these. (See Narrative).</t>
  </si>
  <si>
    <t xml:space="preserve">Problem with Atlas Castor instance in January. There was a high rate of deletion requests. The back end stager database struggled to keep up with the total load. Found one of the tables in the Atlas stager Castor database was badly fragmented. During an overnight outage this table and the associated indexes was rebuilt and preformance restored.</t>
  </si>
  <si>
    <t xml:space="preserve">5.1.1</t>
  </si>
  <si>
    <t xml:space="preserve">CASTOR SAM tests: ALICE VO</t>
  </si>
  <si>
    <t xml:space="preserve">Missing ALICE-specific xroot component after Castor 2.1.15 upgrade led to several days of test failure (inlcuing a weekend).</t>
  </si>
  <si>
    <t xml:space="preserve">1.2.10</t>
  </si>
  <si>
    <t xml:space="preserve">5.1.3</t>
  </si>
  <si>
    <t xml:space="preserve">CASTOR SAM tests: CMS VO</t>
  </si>
  <si>
    <t xml:space="preserve">There have been sporadic failures of the CMS SAM tests against the SRMs (timeouts) throught this period. Effort was directed at Castor upgrades (SRM and then Castor itself to improve this).</t>
  </si>
  <si>
    <t xml:space="preserve">During this period we had a high level of failure of the CMS SRM SAM tests with timeout errors. There was also some specific test failures on top of this: 
9/10/11th April - Problems with CMS Castor (transfermanager); 
3rd May: glexec problem;  
14/15 May - problems writing into Castor CMS. 
24/25 June - test ailing with CMSDisk full.</t>
  </si>
  <si>
    <t xml:space="preserve">At the start of the quarter there was a high rate of SRM tests failures (timeouts) but in the middle of the quarter this improved - although we do not know why. (See narrative). The September figure was brought down by CMSDisk becoming full causing a very high rate of SRM test failures for a couple fo days.</t>
  </si>
  <si>
    <t xml:space="preserve">Availability brought down by CMSDisk in Castor becoming full over the 5/6 October.</t>
  </si>
  <si>
    <t xml:space="preserve">1.2.11</t>
  </si>
  <si>
    <t xml:space="preserve">5.1.4</t>
  </si>
  <si>
    <t xml:space="preserve">CASTOR SAM tests: LHCb VO</t>
  </si>
  <si>
    <t xml:space="preserve">Sporadic SRM test failures through the quarter. Some specific problems with the SRM led to more test failures on one or two days.</t>
  </si>
  <si>
    <t xml:space="preserve">Test failures dominated by problems in first part of quarter The causes are as detailed in the narrative section. (These led to the reversion of a previous SRM update and a problem with TURLs returned after the Castor upgrade.)</t>
  </si>
  <si>
    <t xml:space="preserve">Figure dominated by September availability at 88%. Problem with two disk servers added into Castor gave problems for SAM tests although LHCb did did not report problems. Also noted in Narrative section.</t>
  </si>
  <si>
    <t xml:space="preserve">1.2.12</t>
  </si>
  <si>
    <t xml:space="preserve">7.3.4</t>
  </si>
  <si>
    <t xml:space="preserve"> Reliability of tape robot 99 %</t>
  </si>
  <si>
    <t xml:space="preserve">1.3.1</t>
  </si>
  <si>
    <t xml:space="preserve">WLCG Service Availability Target (set lower by WLCG than MoU, taken from OPS availability) 97 %</t>
  </si>
  <si>
    <t xml:space="preserve">99%%</t>
  </si>
  <si>
    <t xml:space="preserve">The OPS tests were failing in May and June because of the problems with the Castor Information Provider ("CIP")</t>
  </si>
  <si>
    <t xml:space="preserve">1.3.2</t>
  </si>
  <si>
    <t xml:space="preserve">WLCG Service Availability for Alice 97 %</t>
  </si>
  <si>
    <t xml:space="preserve">See comment for metric 1.2.9.</t>
  </si>
  <si>
    <t xml:space="preserve">1.3.3</t>
  </si>
  <si>
    <t xml:space="preserve">WLCG Service Availability for ATLAS 97 %</t>
  </si>
  <si>
    <t xml:space="preserve">See comment for metric 1.2.8.</t>
  </si>
  <si>
    <t xml:space="preserve">1.3.4</t>
  </si>
  <si>
    <t xml:space="preserve">1.2.13</t>
  </si>
  <si>
    <t xml:space="preserve">WLCG Service Availability for CMS 97 %</t>
  </si>
  <si>
    <t xml:space="preserve">See comment for metric 1.2.10 above. Plus in March CMS CE tests suffered from aa problem with argus plus another when a Hyperviosor failed affecting a number of virtual machines. This in turn affected CMS CE tests.</t>
  </si>
  <si>
    <t xml:space="preserve">See comment for metric 1.2.10</t>
  </si>
  <si>
    <t xml:space="preserve">1.3.5</t>
  </si>
  <si>
    <t xml:space="preserve">1.2.14</t>
  </si>
  <si>
    <t xml:space="preserve">WLCG Service Availability for LHCB 97 %</t>
  </si>
  <si>
    <t xml:space="preserve">See comment for metric 1.2.11.</t>
  </si>
  <si>
    <t xml:space="preserve">See comment for metric 1.2.11</t>
  </si>
  <si>
    <t xml:space="preserve">1.3.6</t>
  </si>
  <si>
    <t xml:space="preserve">1.2.4 &amp; 1.2.5</t>
  </si>
  <si>
    <t xml:space="preserve">Respond to pager within 2 hours  95 %  </t>
  </si>
  <si>
    <t xml:space="preserve">1.3.7</t>
  </si>
  <si>
    <t xml:space="preserve">4.1.2</t>
  </si>
  <si>
    <t xml:space="preserve">Number of GGUS Tickets not responded to within two hours .  </t>
  </si>
  <si>
    <t xml:space="preserve">3 per month</t>
  </si>
  <si>
    <t xml:space="preserve">1.3.8</t>
  </si>
  <si>
    <t xml:space="preserve">1.6.4</t>
  </si>
  <si>
    <t xml:space="preserve">Job Efficiency (CPU/Wall) 70 %</t>
  </si>
  <si>
    <t xml:space="preserve">1.3.9</t>
  </si>
  <si>
    <t xml:space="preserve">1.6.5</t>
  </si>
  <si>
    <t xml:space="preserve">Farm Occupancy 70 %</t>
  </si>
  <si>
    <t xml:space="preserve">1.3.10</t>
  </si>
  <si>
    <t xml:space="preserve">1.6.6</t>
  </si>
  <si>
    <t xml:space="preserve">Percentage of available T1 Disk 1 used in quarter 20 %</t>
  </si>
  <si>
    <t xml:space="preserve">1.3.11</t>
  </si>
  <si>
    <t xml:space="preserve">7.3.5</t>
  </si>
  <si>
    <t xml:space="preserve">Used tape capacity (TB)</t>
  </si>
  <si>
    <t xml:space="preserve">NGI</t>
  </si>
  <si>
    <t xml:space="preserve">3.4.1</t>
  </si>
  <si>
    <t xml:space="preserve">UK CPU and storage delivered to EGI</t>
  </si>
  <si>
    <t xml:space="preserve">Ian Collier</t>
  </si>
  <si>
    <t xml:space="preserve">3.4.2</t>
  </si>
  <si>
    <t xml:space="preserve">Monthly timesheets complete by 10th of each month</t>
  </si>
  <si>
    <t xml:space="preserve">3.4.3</t>
  </si>
  <si>
    <t xml:space="preserve">GridPP staff PM delivered as required</t>
  </si>
  <si>
    <t xml:space="preserve">3.4.4</t>
  </si>
  <si>
    <t xml:space="preserve">GOCDB Availability</t>
  </si>
  <si>
    <t xml:space="preserve">&gt;99%</t>
  </si>
  <si>
    <t xml:space="preserve">Waiting on EGI to publish their stats. A quick look at Nagios over the quarter shows no availability issues. </t>
  </si>
  <si>
    <t xml:space="preserve">Source: http://argo.egi.eu/lavoisier/opsmon_reports?accept=html </t>
  </si>
  <si>
    <t xml:space="preserve">3.4.5</t>
  </si>
  <si>
    <t xml:space="preserve">APEL Availability</t>
  </si>
  <si>
    <t xml:space="preserve">Adrian Coveney</t>
  </si>
  <si>
    <t xml:space="preserve">Complete</t>
  </si>
  <si>
    <t xml:space="preserve">Proposed to be Rescheduled</t>
  </si>
  <si>
    <t xml:space="preserve">Overdue</t>
  </si>
  <si>
    <t xml:space="preserve">Likely to be late</t>
  </si>
  <si>
    <t xml:space="preserve">Not yet due</t>
  </si>
  <si>
    <t xml:space="preserve">Proposed Milestone change</t>
  </si>
  <si>
    <t xml:space="preserve">Query</t>
  </si>
  <si>
    <t xml:space="preserve">Based on Milestones 1.3d-2</t>
  </si>
  <si>
    <t xml:space="preserve">Milestone no.</t>
  </si>
  <si>
    <t xml:space="preserve">Due date</t>
  </si>
  <si>
    <t xml:space="preserve">Date complete</t>
  </si>
  <si>
    <t xml:space="preserve">Evidence</t>
  </si>
  <si>
    <t xml:space="preserve">Comment</t>
  </si>
  <si>
    <t xml:space="preserve">1.4.1</t>
  </si>
  <si>
    <t xml:space="preserve">Produce the purchasing plan</t>
  </si>
  <si>
    <t xml:space="preserve">A purchasing plan swas produced but changes in the amount of money available require the plan to be re-visited.</t>
  </si>
  <si>
    <t xml:space="preserve">1.4.2</t>
  </si>
  <si>
    <t xml:space="preserve">FY16 Capacity order placed</t>
  </si>
  <si>
    <t xml:space="preserve">Order for CPU &amp; disk storage received by vendor mid-Feb.</t>
  </si>
  <si>
    <t xml:space="preserve">1.4.3</t>
  </si>
  <si>
    <t xml:space="preserve">FY16 Purchase in production</t>
  </si>
  <si>
    <t xml:space="preserve">CPU in use. Storage in Echo</t>
  </si>
  <si>
    <t xml:space="preserve">1.4.4</t>
  </si>
  <si>
    <t xml:space="preserve">Tier-1 WLCG MoU commitments met</t>
  </si>
  <si>
    <t xml:space="preserve">Alastair Dewhurst</t>
  </si>
  <si>
    <t xml:space="preserve">As shown in metrics.</t>
  </si>
  <si>
    <t xml:space="preserve">1.4.5</t>
  </si>
  <si>
    <t xml:space="preserve">Planning completed so that tenders could be issued. </t>
  </si>
  <si>
    <t xml:space="preserve">1.4.6</t>
  </si>
  <si>
    <t xml:space="preserve">FY17 Capacity order placed</t>
  </si>
  <si>
    <t xml:space="preserve">Tenders issued at end of November. Orders placed January 2018. - technically outside this quarter - but it is now done.</t>
  </si>
  <si>
    <t xml:space="preserve">1.4.7</t>
  </si>
  <si>
    <t xml:space="preserve">FY17 Purchase in production</t>
  </si>
  <si>
    <t xml:space="preserve">50% of CPU in production by June.  XMA CPU and all storage still behind.</t>
  </si>
  <si>
    <t xml:space="preserve">1.4.8</t>
  </si>
  <si>
    <t xml:space="preserve">Waiting on CPU delivery, storage is being ramped up slowly.</t>
  </si>
  <si>
    <t xml:space="preserve">1.4.9</t>
  </si>
  <si>
    <t xml:space="preserve">Unclear finance situation, new hardware is not in production, so hard to make predictions about what we will need.</t>
  </si>
  <si>
    <t xml:space="preserve">1.4.10</t>
  </si>
  <si>
    <t xml:space="preserve">FY18 Capacity order placed</t>
  </si>
  <si>
    <t xml:space="preserve">Disk Tender runs until 7th December.  CPU direct award placed in December.</t>
  </si>
  <si>
    <t xml:space="preserve">1.4.11</t>
  </si>
  <si>
    <t xml:space="preserve">FY18 Purchase in production</t>
  </si>
  <si>
    <t xml:space="preserve">CPU in production in March.  Disk is ready for deployment although it will be phased in slowly as we have plenty of spare capacity currently.</t>
  </si>
  <si>
    <t xml:space="preserve">1.4.12</t>
  </si>
  <si>
    <t xml:space="preserve">1.4.13</t>
  </si>
  <si>
    <t xml:space="preserve">1.4.14</t>
  </si>
  <si>
    <t xml:space="preserve">FY19 Capacity order placed</t>
  </si>
  <si>
    <t xml:space="preserve">1.4.15</t>
  </si>
  <si>
    <t xml:space="preserve">FY19 Purchase in production</t>
  </si>
  <si>
    <t xml:space="preserve">1.4.16</t>
  </si>
  <si>
    <t xml:space="preserve">Effort (FTE)</t>
  </si>
  <si>
    <t xml:space="preserve">GridPP Funded</t>
  </si>
  <si>
    <t xml:space="preserve">Unfunded</t>
  </si>
  <si>
    <t xml:space="preserve">Site</t>
  </si>
  <si>
    <t xml:space="preserve">Work area</t>
  </si>
  <si>
    <t xml:space="preserve">GRIDPP Funded Name(s)</t>
  </si>
  <si>
    <t xml:space="preserve">Month 1</t>
  </si>
  <si>
    <t xml:space="preserve">Month 2</t>
  </si>
  <si>
    <t xml:space="preserve">Month 3</t>
  </si>
  <si>
    <t xml:space="preserve">Fabric</t>
  </si>
  <si>
    <t xml:space="preserve">Bly, Hafeez, Harper, Walia, Summers, Banks</t>
  </si>
  <si>
    <t xml:space="preserve">Grid</t>
  </si>
  <si>
    <t xml:space="preserve">Condurache, Adams, Collier, Dibbo</t>
  </si>
  <si>
    <t xml:space="preserve">CASTOR/Tape/CEPH</t>
  </si>
  <si>
    <t xml:space="preserve">Folkes, Appleyard, Johnson, Patargias, McComb</t>
  </si>
  <si>
    <t xml:space="preserve">Database</t>
  </si>
  <si>
    <t xml:space="preserve">Lopez, Packer, Contractor</t>
  </si>
  <si>
    <t xml:space="preserve">Management</t>
  </si>
  <si>
    <t xml:space="preserve">Dewhurst</t>
  </si>
  <si>
    <t xml:space="preserve">Production</t>
  </si>
  <si>
    <t xml:space="preserve">Moore, Kelly, Summers</t>
  </si>
  <si>
    <t xml:space="preserve">Total</t>
  </si>
  <si>
    <t xml:space="preserve">APEL</t>
  </si>
  <si>
    <t xml:space="preserve">Coveney, Corbett</t>
  </si>
  <si>
    <t xml:space="preserve">GOCDB</t>
  </si>
  <si>
    <t xml:space="preserve">Ryall</t>
  </si>
  <si>
    <t xml:space="preserve">Machine room operations are now fully funded by SCD in GridPP5</t>
  </si>
  <si>
    <t xml:space="preserve">Site networking is not funded by either SCD or GridPP in GridPP5</t>
  </si>
  <si>
    <t xml:space="preserve">Progress over last Quarter</t>
  </si>
  <si>
    <t xml:space="preserve">Successes</t>
  </si>
  <si>
    <t xml:space="preserve">Problems/Issues</t>
  </si>
  <si>
    <t xml:space="preserve">General</t>
  </si>
  <si>
    <t xml:space="preserve">Security Challenge started end of Q1 (completed Q2).  Tier-1 successfully handled and responded to this challenge. </t>
  </si>
  <si>
    <t xml:space="preserve">CPU</t>
  </si>
  <si>
    <t xml:space="preserve">XMA CPU’s delivered.</t>
  </si>
  <si>
    <t xml:space="preserve">Poor CPU efficiencies being recorded, however this is noticeable trend a cross all sites so believed to be as a result of job type.</t>
  </si>
  <si>
    <t xml:space="preserve">Disk</t>
  </si>
  <si>
    <t xml:space="preserve">Dell XMA  storage delivered.</t>
  </si>
  <si>
    <t xml:space="preserve">CASTOR</t>
  </si>
  <si>
    <t xml:space="preserve">A large proportion of LHCb. Disk servers are failing.  This is to be expected as the hardware being run is somewhat old.</t>
  </si>
  <si>
    <t xml:space="preserve">ECHO</t>
  </si>
  <si>
    <t xml:space="preserve">Grid Deployment</t>
  </si>
  <si>
    <t xml:space="preserve">
Ongoing CE issues  have been resolved after upgrade.  LSST issues with running jobs resolved.</t>
  </si>
  <si>
    <t xml:space="preserve">Core Services</t>
  </si>
  <si>
    <t xml:space="preserve">CMS CPU efficiencies varying over a weekly period.  Appears to be as the result of log collection job types</t>
  </si>
  <si>
    <t xml:space="preserve">Production Team</t>
  </si>
  <si>
    <t xml:space="preserve">Gareth Smith, Production Manager  has retired.</t>
  </si>
  <si>
    <t xml:space="preserve">Network</t>
  </si>
  <si>
    <t xml:space="preserve">IPv6 experiencing packet loss ~3%  with a max of 6%. </t>
  </si>
  <si>
    <t xml:space="preserve">Machine Room Operations</t>
  </si>
  <si>
    <t xml:space="preserve">Database team</t>
  </si>
  <si>
    <t xml:space="preserve">No major problems encountered. Service ran smoothly during this period. Response time for GGUS tickets within OLA.</t>
  </si>
  <si>
    <t xml:space="preserve">None</t>
  </si>
  <si>
    <t xml:space="preserve">Note:To get multiple lines per box use Alt-Return</t>
  </si>
  <si>
    <t xml:space="preserve">General Risks</t>
  </si>
  <si>
    <t xml:space="preserve">Risk</t>
  </si>
  <si>
    <t xml:space="preserve">Mitigating Action</t>
  </si>
  <si>
    <t xml:space="preserve">The GridPP5 proposal requires the Tier1 to transition to supplying a more diverse community and that economies (in this context as seen by GridPP) can be found by providing a shared resource.This may prove to be impossible or require more effort than available.</t>
  </si>
  <si>
    <t xml:space="preserve">Close engagement with UKT0 project.</t>
  </si>
  <si>
    <t xml:space="preserve">Insitute or area specific risks</t>
  </si>
  <si>
    <t xml:space="preserve">CERN will stop support for Castor.</t>
  </si>
  <si>
    <t xml:space="preserve">CERN have announces a replacement for Castor (for tape). An evaluation of the best way forward for future tape storage is being made.</t>
  </si>
  <si>
    <t xml:space="preserve">CEPH ECHO will not deliver storage reliably or be able to deliver the necessary access bandwidth.</t>
  </si>
  <si>
    <t xml:space="preserve">Tight management of the ECHO project is carefuly monitoring progress. There has been one notable data loss incident. However, experience so far corroborates that expected from the risk register. Atlas and CMS have now switched to using Echo and it is delivering sufficient bandwidth. Any bandwidth limitations are in the gateways and here we are providing gateways on each of our worker nodes as well as the general usage ones. This risk is diminishing as operational experience builds.</t>
  </si>
  <si>
    <t xml:space="preserve">Oracle withdraw support for existing Tape infrastucture.</t>
  </si>
  <si>
    <t xml:space="preserve">No indication from Oracle that existing tape infrastructure will end of life. Maintain close links with Oracle in order to identify any future issues.</t>
  </si>
  <si>
    <t xml:space="preserve">GridPP5 Staffing plan requires Tier-1 to reduce staff effort to 14.5 FTE in FY18. Potential impact on Tier-1 operation.</t>
  </si>
  <si>
    <t xml:space="preserve">Attempt to maintain average staff level closer to 100%. Identify further mitigations to improve STFC recruitment and retention. Seek financial reprofile of FY17 underspend. Cut costs where feasible through terminating services and reducing costs. </t>
  </si>
  <si>
    <t xml:space="preserve">Staffing recruitment and retention remains very problematic. </t>
  </si>
  <si>
    <t xml:space="preserve">Recruitment and retention is considered a significant risk to STFC. A number of initiatives are underway in order to mitigate this. It would be possible to further mitigate against this risk if the Tier1 were able to recruit staff above agreed average staffing level. Recent departures, coupled with difficulties recruiting make this risk more acute.</t>
  </si>
  <si>
    <t xml:space="preserve">Objectives and Deliverables for Last Quarter</t>
  </si>
  <si>
    <t xml:space="preserve">Objective/Deliverable</t>
  </si>
  <si>
    <t xml:space="preserve">Due Date</t>
  </si>
  <si>
    <t xml:space="preserve">Metric/Output</t>
  </si>
  <si>
    <t xml:space="preserve">1.4.11 FY18 Purchases in production</t>
  </si>
  <si>
    <t xml:space="preserve">Apr '19</t>
  </si>
  <si>
    <t xml:space="preserve">Objectives and Deliverables for Next Quarter</t>
  </si>
  <si>
    <t xml:space="preserve">Summary of Comments</t>
  </si>
  <si>
    <t xml:space="preserve">1.4.12 Tier-1 WLCG MoU commitments met</t>
  </si>
  <si>
    <t xml:space="preserve">May '19</t>
  </si>
  <si>
    <t xml:space="preserve">1.4.13 Produce the purchasing plan</t>
  </si>
  <si>
    <t xml:space="preserve">June '19</t>
  </si>
  <si>
    <t xml:space="preserve">Objectives and Deliverables needing Rescheduling</t>
  </si>
  <si>
    <t xml:space="preserve">Old Due Date</t>
  </si>
  <si>
    <t xml:space="preserve">New Due Date</t>
  </si>
  <si>
    <t xml:space="preserve">Reason</t>
  </si>
  <si>
    <t xml:space="preserve">New Objectives and Deliverables </t>
  </si>
  <si>
    <t xml:space="preserve">EVAL Notes</t>
  </si>
  <si>
    <t xml:space="preserve">Publications</t>
  </si>
  <si>
    <t xml:space="preserve"> Date</t>
  </si>
  <si>
    <t xml:space="preserve">Notes</t>
  </si>
  <si>
    <t xml:space="preserve">Collaborations</t>
  </si>
  <si>
    <t xml:space="preserve">Further Funding (eg external grants)</t>
  </si>
  <si>
    <t xml:space="preserve">Destination of ex staff and recruitment issues</t>
  </si>
  <si>
    <t xml:space="preserve">Dissemmination events</t>
  </si>
  <si>
    <t xml:space="preserve">Intellectual Property</t>
  </si>
  <si>
    <t xml:space="preserve">Spin out companies</t>
  </si>
  <si>
    <t xml:space="preserve">Roles held on committees and boards</t>
  </si>
  <si>
    <t xml:space="preserve">Other outputs and Knowledge</t>
  </si>
</sst>
</file>

<file path=xl/styles.xml><?xml version="1.0" encoding="utf-8"?>
<styleSheet xmlns="http://schemas.openxmlformats.org/spreadsheetml/2006/main">
  <numFmts count="11">
    <numFmt numFmtId="164" formatCode="General"/>
    <numFmt numFmtId="165" formatCode="0.000"/>
    <numFmt numFmtId="166" formatCode="0%"/>
    <numFmt numFmtId="167" formatCode="0"/>
    <numFmt numFmtId="168" formatCode="0.00"/>
    <numFmt numFmtId="169" formatCode="0.00%"/>
    <numFmt numFmtId="170" formatCode="0.0%"/>
    <numFmt numFmtId="171" formatCode="MMM\-YY"/>
    <numFmt numFmtId="172" formatCode="DD\-MMM\-YY"/>
    <numFmt numFmtId="173" formatCode="@"/>
    <numFmt numFmtId="174" formatCode="DD/MM/YYYY"/>
  </numFmts>
  <fonts count="12">
    <font>
      <sz val="10"/>
      <name val="Arial"/>
      <family val="0"/>
      <charset val="1"/>
    </font>
    <font>
      <sz val="10"/>
      <name val="Arial"/>
      <family val="0"/>
    </font>
    <font>
      <sz val="10"/>
      <name val="Arial"/>
      <family val="0"/>
    </font>
    <font>
      <sz val="10"/>
      <name val="Arial"/>
      <family val="0"/>
    </font>
    <font>
      <sz val="10"/>
      <name val="Arial"/>
      <family val="2"/>
      <charset val="1"/>
    </font>
    <font>
      <b val="true"/>
      <sz val="10"/>
      <name val="Arial"/>
      <family val="2"/>
      <charset val="1"/>
    </font>
    <font>
      <i val="true"/>
      <sz val="10"/>
      <name val="Arial"/>
      <family val="2"/>
      <charset val="1"/>
    </font>
    <font>
      <sz val="12"/>
      <name val="Arial"/>
      <family val="2"/>
      <charset val="1"/>
    </font>
    <font>
      <b val="true"/>
      <sz val="12"/>
      <name val="Arial"/>
      <family val="2"/>
      <charset val="1"/>
    </font>
    <font>
      <b val="true"/>
      <sz val="9"/>
      <color rgb="FF000000"/>
      <name val="Tahoma"/>
      <family val="2"/>
      <charset val="1"/>
    </font>
    <font>
      <sz val="9"/>
      <color rgb="FF000000"/>
      <name val="Tahoma"/>
      <family val="2"/>
      <charset val="1"/>
    </font>
    <font>
      <sz val="10"/>
      <color rgb="FFFF0000"/>
      <name val="Arial"/>
      <family val="2"/>
      <charset val="1"/>
    </font>
  </fonts>
  <fills count="17">
    <fill>
      <patternFill patternType="none"/>
    </fill>
    <fill>
      <patternFill patternType="gray125"/>
    </fill>
    <fill>
      <patternFill patternType="solid">
        <fgColor rgb="FF99CCFF"/>
        <bgColor rgb="FFCCCCFF"/>
      </patternFill>
    </fill>
    <fill>
      <patternFill patternType="solid">
        <fgColor rgb="FF1FB714"/>
        <bgColor rgb="FF00B050"/>
      </patternFill>
    </fill>
    <fill>
      <patternFill patternType="solid">
        <fgColor rgb="FFCCFFFF"/>
        <bgColor rgb="FFCCFFFF"/>
      </patternFill>
    </fill>
    <fill>
      <patternFill patternType="solid">
        <fgColor rgb="FFFF9900"/>
        <bgColor rgb="FFFFC000"/>
      </patternFill>
    </fill>
    <fill>
      <patternFill patternType="solid">
        <fgColor rgb="FFDD0806"/>
        <bgColor rgb="FFFF0000"/>
      </patternFill>
    </fill>
    <fill>
      <patternFill patternType="solid">
        <fgColor rgb="FFCD99FF"/>
        <bgColor rgb="FFCC99FF"/>
      </patternFill>
    </fill>
    <fill>
      <patternFill patternType="solid">
        <fgColor rgb="FF000000"/>
        <bgColor rgb="FF003300"/>
      </patternFill>
    </fill>
    <fill>
      <patternFill patternType="solid">
        <fgColor rgb="FF7030A0"/>
        <bgColor rgb="FF993366"/>
      </patternFill>
    </fill>
    <fill>
      <patternFill patternType="solid">
        <fgColor rgb="FF00B050"/>
        <bgColor rgb="FF1FB714"/>
      </patternFill>
    </fill>
    <fill>
      <patternFill patternType="solid">
        <fgColor rgb="FFFF0000"/>
        <bgColor rgb="FFDD0806"/>
      </patternFill>
    </fill>
    <fill>
      <patternFill patternType="solid">
        <fgColor rgb="FFFFFFFF"/>
        <bgColor rgb="FFFFFFCC"/>
      </patternFill>
    </fill>
    <fill>
      <patternFill patternType="solid">
        <fgColor rgb="FFFFC000"/>
        <bgColor rgb="FFFF9900"/>
      </patternFill>
    </fill>
    <fill>
      <patternFill patternType="solid">
        <fgColor rgb="FF00CCFF"/>
        <bgColor rgb="FF33CCCC"/>
      </patternFill>
    </fill>
    <fill>
      <patternFill patternType="solid">
        <fgColor rgb="FF0000D4"/>
        <bgColor rgb="FF0000FF"/>
      </patternFill>
    </fill>
    <fill>
      <patternFill patternType="solid">
        <fgColor rgb="FFCC99FF"/>
        <bgColor rgb="FFCD99FF"/>
      </patternFill>
    </fill>
  </fills>
  <borders count="73">
    <border diagonalUp="false" diagonalDown="false">
      <left/>
      <right/>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top style="medium"/>
      <bottom style="thin"/>
      <diagonal/>
    </border>
    <border diagonalUp="false" diagonalDown="false">
      <left style="medium"/>
      <right style="medium"/>
      <top style="medium"/>
      <bottom/>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top/>
      <bottom/>
      <diagonal/>
    </border>
    <border diagonalUp="false" diagonalDown="false">
      <left style="medium"/>
      <right style="medium"/>
      <top/>
      <bottom/>
      <diagonal/>
    </border>
    <border diagonalUp="false" diagonalDown="false">
      <left style="medium"/>
      <right/>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top/>
      <bottom style="medium"/>
      <diagonal/>
    </border>
    <border diagonalUp="false" diagonalDown="false">
      <left style="medium"/>
      <right style="medium"/>
      <top/>
      <bottom style="mediu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right/>
      <top style="thin"/>
      <bottom/>
      <diagonal/>
    </border>
    <border diagonalUp="false" diagonalDown="false">
      <left style="medium"/>
      <right style="medium"/>
      <top/>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style="thin"/>
      <right style="medium"/>
      <top/>
      <bottom style="thin"/>
      <diagonal/>
    </border>
    <border diagonalUp="false" diagonalDown="false">
      <left/>
      <right style="medium"/>
      <top/>
      <bottom style="thin"/>
      <diagonal/>
    </border>
    <border diagonalUp="false" diagonalDown="false">
      <left style="medium"/>
      <right/>
      <top/>
      <bottom style="thin"/>
      <diagonal/>
    </border>
    <border diagonalUp="false" diagonalDown="false">
      <left/>
      <right style="thin"/>
      <top/>
      <bottom style="thin"/>
      <diagonal/>
    </border>
    <border diagonalUp="false" diagonalDown="false">
      <left style="thick"/>
      <right style="medium"/>
      <top style="thick"/>
      <bottom style="thin"/>
      <diagonal/>
    </border>
    <border diagonalUp="false" diagonalDown="false">
      <left style="thin"/>
      <right style="medium"/>
      <top style="thick"/>
      <bottom style="thin"/>
      <diagonal/>
    </border>
    <border diagonalUp="false" diagonalDown="false">
      <left style="thin"/>
      <right/>
      <top style="thick"/>
      <bottom style="thin"/>
      <diagonal/>
    </border>
    <border diagonalUp="false" diagonalDown="false">
      <left style="thin"/>
      <right style="thin"/>
      <top style="thick"/>
      <bottom style="thin"/>
      <diagonal/>
    </border>
    <border diagonalUp="false" diagonalDown="false">
      <left style="thin"/>
      <right style="thick"/>
      <top style="thick"/>
      <bottom style="thin"/>
      <diagonal/>
    </border>
    <border diagonalUp="false" diagonalDown="false">
      <left style="thick"/>
      <right style="medium"/>
      <top style="thin"/>
      <bottom style="thin"/>
      <diagonal/>
    </border>
    <border diagonalUp="false" diagonalDown="false">
      <left style="thin"/>
      <right style="thick"/>
      <top style="thin"/>
      <bottom style="thin"/>
      <diagonal/>
    </border>
    <border diagonalUp="false" diagonalDown="false">
      <left style="thin"/>
      <right/>
      <top style="thin"/>
      <bottom/>
      <diagonal/>
    </border>
    <border diagonalUp="false" diagonalDown="false">
      <left/>
      <right style="thick"/>
      <top/>
      <bottom/>
      <diagonal/>
    </border>
    <border diagonalUp="false" diagonalDown="false">
      <left style="thick"/>
      <right style="medium"/>
      <top style="thin"/>
      <bottom style="thick"/>
      <diagonal/>
    </border>
    <border diagonalUp="false" diagonalDown="false">
      <left style="thin"/>
      <right style="medium"/>
      <top style="thin"/>
      <bottom style="thick"/>
      <diagonal/>
    </border>
    <border diagonalUp="false" diagonalDown="false">
      <left style="thin"/>
      <right/>
      <top style="thin"/>
      <bottom style="thick"/>
      <diagonal/>
    </border>
    <border diagonalUp="false" diagonalDown="false">
      <left style="thin"/>
      <right style="thin"/>
      <top style="thin"/>
      <bottom style="thick"/>
      <diagonal/>
    </border>
    <border diagonalUp="false" diagonalDown="false">
      <left style="thin"/>
      <right style="thick"/>
      <top style="thin"/>
      <bottom style="thick"/>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style="medium"/>
      <right style="thin"/>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right style="thin"/>
      <top style="medium"/>
      <bottom/>
      <diagonal/>
    </border>
    <border diagonalUp="false" diagonalDown="false">
      <left style="thin"/>
      <right style="medium"/>
      <top style="medium"/>
      <bottom/>
      <diagonal/>
    </border>
    <border diagonalUp="false" diagonalDown="false">
      <left style="medium"/>
      <right style="medium"/>
      <top style="medium"/>
      <bottom style="thin"/>
      <diagonal/>
    </border>
    <border diagonalUp="false" diagonalDown="false">
      <left/>
      <right style="medium"/>
      <top style="medium"/>
      <bottom style="thin"/>
      <diagonal/>
    </border>
    <border diagonalUp="false" diagonalDown="false">
      <left/>
      <right/>
      <top style="medium"/>
      <bottom style="thin"/>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right/>
      <top style="thin"/>
      <bottom style="thin"/>
      <diagonal/>
    </border>
    <border diagonalUp="false" diagonalDown="false">
      <left/>
      <right style="thin"/>
      <top style="thin"/>
      <bottom/>
      <diagonal/>
    </border>
    <border diagonalUp="false" diagonalDown="false">
      <left/>
      <right/>
      <top/>
      <bottom style="medium"/>
      <diagonal/>
    </border>
    <border diagonalUp="false" diagonalDown="false">
      <left/>
      <right style="thin"/>
      <top style="medium"/>
      <bottom style="medium"/>
      <diagonal/>
    </border>
    <border diagonalUp="false" diagonalDown="false">
      <left style="medium"/>
      <right style="medium"/>
      <top style="thin"/>
      <bottom style="medium"/>
      <diagonal/>
    </border>
    <border diagonalUp="false" diagonalDown="false">
      <left style="thin"/>
      <right style="thin"/>
      <top style="medium"/>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thin"/>
      <right style="thin"/>
      <top style="thin"/>
      <bottom style="medium"/>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2" borderId="1" xfId="0" applyFont="tru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5" fillId="4" borderId="5"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4" fillId="5" borderId="7"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true" applyProtection="false">
      <alignment horizontal="general" vertical="bottom" textRotation="0" wrapText="tru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0" fillId="6" borderId="9"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5" fillId="4" borderId="10" xfId="0" applyFont="tru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4" fontId="0" fillId="7" borderId="9"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8" borderId="12" xfId="0" applyFont="fals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true" applyProtection="false">
      <alignment horizontal="general" vertical="bottom" textRotation="0" wrapText="true" indent="0" shrinkToFit="false"/>
      <protection locked="true" hidden="false"/>
    </xf>
    <xf numFmtId="164" fontId="5" fillId="2" borderId="14" xfId="0" applyFont="true" applyBorder="true" applyAlignment="false" applyProtection="false">
      <alignment horizontal="general" vertical="bottom" textRotation="0" wrapText="false" indent="0" shrinkToFit="false"/>
      <protection locked="true" hidden="false"/>
    </xf>
    <xf numFmtId="164" fontId="5" fillId="2" borderId="15" xfId="0" applyFont="true" applyBorder="true" applyAlignment="false" applyProtection="false">
      <alignment horizontal="general" vertical="bottom" textRotation="0" wrapText="false" indent="0" shrinkToFit="false"/>
      <protection locked="true" hidden="false"/>
    </xf>
    <xf numFmtId="164" fontId="5" fillId="2" borderId="4" xfId="0" applyFont="true" applyBorder="true" applyAlignment="false" applyProtection="false">
      <alignment horizontal="general" vertical="bottom" textRotation="0" wrapText="false" indent="0" shrinkToFit="false"/>
      <protection locked="true" hidden="false"/>
    </xf>
    <xf numFmtId="164" fontId="5" fillId="2" borderId="14" xfId="0" applyFont="true" applyBorder="true" applyAlignment="true" applyProtection="false">
      <alignment horizontal="general" vertical="bottom" textRotation="0" wrapText="true" indent="0" shrinkToFit="false"/>
      <protection locked="true" hidden="false"/>
    </xf>
    <xf numFmtId="165" fontId="5" fillId="4" borderId="9" xfId="0" applyFont="true" applyBorder="true" applyAlignment="true" applyProtection="false">
      <alignment horizontal="general" vertical="bottom" textRotation="0" wrapText="true" indent="0" shrinkToFit="false"/>
      <protection locked="true" hidden="false"/>
    </xf>
    <xf numFmtId="164" fontId="5" fillId="2" borderId="2" xfId="0" applyFont="true" applyBorder="true" applyAlignment="true" applyProtection="false">
      <alignment horizontal="general" vertical="bottom" textRotation="0" wrapText="true" indent="0" shrinkToFit="false"/>
      <protection locked="true" hidden="false"/>
    </xf>
    <xf numFmtId="164" fontId="0" fillId="9" borderId="16" xfId="0" applyFont="false" applyBorder="true" applyAlignment="false" applyProtection="false">
      <alignment horizontal="general" vertical="bottom" textRotation="0" wrapText="false" indent="0" shrinkToFit="false"/>
      <protection locked="true" hidden="false"/>
    </xf>
    <xf numFmtId="164" fontId="4" fillId="0" borderId="16" xfId="0" applyFont="true" applyBorder="true" applyAlignment="true" applyProtection="false">
      <alignment horizontal="left" vertical="top" textRotation="0" wrapText="true" indent="0" shrinkToFit="false"/>
      <protection locked="true" hidden="false"/>
    </xf>
    <xf numFmtId="166" fontId="4" fillId="0" borderId="17" xfId="0" applyFont="true" applyBorder="true" applyAlignment="true" applyProtection="false">
      <alignment horizontal="left" vertical="top" textRotation="0" wrapText="true" indent="0" shrinkToFit="false"/>
      <protection locked="true" hidden="false"/>
    </xf>
    <xf numFmtId="166" fontId="4" fillId="10" borderId="16" xfId="0" applyFont="true" applyBorder="true" applyAlignment="true" applyProtection="false">
      <alignment horizontal="left" vertical="top" textRotation="0" wrapText="true" indent="0" shrinkToFit="false"/>
      <protection locked="true" hidden="false"/>
    </xf>
    <xf numFmtId="164" fontId="0" fillId="0" borderId="18" xfId="0" applyFont="false" applyBorder="true" applyAlignment="true" applyProtection="false">
      <alignment horizontal="general" vertical="bottom" textRotation="0" wrapText="true" indent="0" shrinkToFit="false"/>
      <protection locked="true" hidden="false"/>
    </xf>
    <xf numFmtId="164" fontId="4" fillId="0" borderId="18" xfId="0" applyFont="true" applyBorder="true" applyAlignment="true" applyProtection="false">
      <alignment horizontal="general" vertical="bottom" textRotation="0" wrapText="true" indent="0" shrinkToFit="false"/>
      <protection locked="true" hidden="false"/>
    </xf>
    <xf numFmtId="164" fontId="5" fillId="2" borderId="6" xfId="0" applyFont="true" applyBorder="true" applyAlignment="true" applyProtection="false">
      <alignment horizontal="general" vertical="bottom" textRotation="0" wrapText="true" indent="0" shrinkToFit="false"/>
      <protection locked="true" hidden="false"/>
    </xf>
    <xf numFmtId="166" fontId="4" fillId="0" borderId="19" xfId="0" applyFont="true" applyBorder="true" applyAlignment="true" applyProtection="false">
      <alignment horizontal="left" vertical="top" textRotation="0" wrapText="true" indent="0" shrinkToFit="false"/>
      <protection locked="true" hidden="false"/>
    </xf>
    <xf numFmtId="167" fontId="4" fillId="0" borderId="17" xfId="0" applyFont="true" applyBorder="true" applyAlignment="true" applyProtection="false">
      <alignment horizontal="left" vertical="top" textRotation="0" wrapText="true" indent="0" shrinkToFit="false"/>
      <protection locked="true" hidden="false"/>
    </xf>
    <xf numFmtId="164" fontId="0" fillId="10" borderId="16" xfId="0" applyFont="false" applyBorder="true" applyAlignment="true" applyProtection="false">
      <alignment horizontal="left"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11" borderId="16" xfId="0" applyFont="false" applyBorder="true" applyAlignment="true" applyProtection="false">
      <alignment horizontal="left" vertical="bottom" textRotation="0" wrapText="false" indent="0" shrinkToFit="false"/>
      <protection locked="true" hidden="false"/>
    </xf>
    <xf numFmtId="164" fontId="0" fillId="0" borderId="18" xfId="0" applyFont="true" applyBorder="true" applyAlignment="true" applyProtection="false">
      <alignment horizontal="general" vertical="bottom" textRotation="0" wrapText="true" indent="0" shrinkToFit="false"/>
      <protection locked="true" hidden="false"/>
    </xf>
    <xf numFmtId="164" fontId="5" fillId="4" borderId="20" xfId="0" applyFont="true" applyBorder="true" applyAlignment="true" applyProtection="false">
      <alignment horizontal="general" vertical="bottom" textRotation="0" wrapText="true" indent="0" shrinkToFit="false"/>
      <protection locked="true" hidden="false"/>
    </xf>
    <xf numFmtId="164" fontId="4" fillId="9" borderId="21" xfId="0" applyFont="true" applyBorder="true" applyAlignment="true" applyProtection="false">
      <alignment horizontal="general" vertical="bottom" textRotation="0" wrapText="true" indent="0" shrinkToFit="false"/>
      <protection locked="true" hidden="false"/>
    </xf>
    <xf numFmtId="164" fontId="4" fillId="0" borderId="21" xfId="0" applyFont="true" applyBorder="true" applyAlignment="true" applyProtection="false">
      <alignment horizontal="left" vertical="top" textRotation="0" wrapText="true" indent="0" shrinkToFit="false"/>
      <protection locked="true" hidden="false"/>
    </xf>
    <xf numFmtId="164" fontId="5" fillId="4" borderId="22" xfId="0" applyFont="true" applyBorder="true" applyAlignment="true" applyProtection="false">
      <alignment horizontal="general" vertical="bottom" textRotation="0" wrapText="true" indent="0" shrinkToFit="false"/>
      <protection locked="true" hidden="false"/>
    </xf>
    <xf numFmtId="164" fontId="4" fillId="12" borderId="16" xfId="0" applyFont="true" applyBorder="true" applyAlignment="true" applyProtection="false">
      <alignment horizontal="general" vertical="bottom" textRotation="0" wrapText="true" indent="0" shrinkToFit="false"/>
      <protection locked="true" hidden="false"/>
    </xf>
    <xf numFmtId="166" fontId="4" fillId="13" borderId="16" xfId="0" applyFont="true" applyBorder="true" applyAlignment="true" applyProtection="false">
      <alignment horizontal="left" vertical="top" textRotation="0" wrapText="true" indent="0" shrinkToFit="false"/>
      <protection locked="true" hidden="false"/>
    </xf>
    <xf numFmtId="166" fontId="4" fillId="11" borderId="16" xfId="0" applyFont="true" applyBorder="true" applyAlignment="true" applyProtection="false">
      <alignment horizontal="left" vertical="top" textRotation="0" wrapText="true" indent="0" shrinkToFit="false"/>
      <protection locked="true" hidden="false"/>
    </xf>
    <xf numFmtId="165" fontId="5" fillId="0" borderId="9" xfId="0" applyFont="true" applyBorder="true" applyAlignment="true" applyProtection="false">
      <alignment horizontal="general" vertical="bottom" textRotation="0" wrapText="true" indent="0" shrinkToFit="false"/>
      <protection locked="true" hidden="false"/>
    </xf>
    <xf numFmtId="164" fontId="5" fillId="0" borderId="22" xfId="0" applyFont="true" applyBorder="true" applyAlignment="true" applyProtection="false">
      <alignment horizontal="general" vertical="bottom" textRotation="0" wrapText="true" indent="0" shrinkToFit="false"/>
      <protection locked="true" hidden="false"/>
    </xf>
    <xf numFmtId="164" fontId="0" fillId="0" borderId="23" xfId="0" applyFont="fals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true" applyProtection="false">
      <alignment horizontal="general" vertical="bottom" textRotation="0" wrapText="true" indent="0" shrinkToFit="false"/>
      <protection locked="true" hidden="false"/>
    </xf>
    <xf numFmtId="166" fontId="4" fillId="0" borderId="24" xfId="0" applyFont="true" applyBorder="true" applyAlignment="true" applyProtection="false">
      <alignment horizontal="left" vertical="top" textRotation="0" wrapText="true" indent="0" shrinkToFit="false"/>
      <protection locked="true" hidden="false"/>
    </xf>
    <xf numFmtId="166" fontId="4" fillId="0" borderId="25" xfId="0" applyFont="true" applyBorder="true" applyAlignment="true" applyProtection="false">
      <alignment horizontal="left" vertical="top" textRotation="0" wrapText="true" indent="0" shrinkToFit="false"/>
      <protection locked="true" hidden="false"/>
    </xf>
    <xf numFmtId="164" fontId="5" fillId="4" borderId="26" xfId="0" applyFont="true" applyBorder="true" applyAlignment="true" applyProtection="false">
      <alignment horizontal="general" vertical="bottom" textRotation="0" wrapText="true" indent="0" shrinkToFit="false"/>
      <protection locked="true" hidden="false"/>
    </xf>
    <xf numFmtId="164" fontId="4" fillId="9" borderId="16" xfId="0" applyFont="true" applyBorder="true" applyAlignment="true" applyProtection="false">
      <alignment horizontal="general" vertical="bottom" textRotation="0" wrapText="true" indent="0" shrinkToFit="false"/>
      <protection locked="true" hidden="false"/>
    </xf>
    <xf numFmtId="164" fontId="4" fillId="0" borderId="16" xfId="0" applyFont="true" applyBorder="true" applyAlignment="true" applyProtection="false">
      <alignment horizontal="general" vertical="top" textRotation="0" wrapText="false" indent="0" shrinkToFit="false"/>
      <protection locked="true" hidden="false"/>
    </xf>
    <xf numFmtId="166" fontId="0" fillId="10" borderId="17" xfId="0" applyFont="true" applyBorder="true" applyAlignment="true" applyProtection="false">
      <alignment horizontal="left" vertical="top" textRotation="0" wrapText="true" indent="0" shrinkToFit="false"/>
      <protection locked="true" hidden="false"/>
    </xf>
    <xf numFmtId="166" fontId="0" fillId="10" borderId="16" xfId="0" applyFont="true" applyBorder="true" applyAlignment="true" applyProtection="false">
      <alignment horizontal="left" vertical="top" textRotation="0" wrapText="true" indent="0" shrinkToFit="false"/>
      <protection locked="true" hidden="false"/>
    </xf>
    <xf numFmtId="164" fontId="5" fillId="4" borderId="6" xfId="0" applyFont="true" applyBorder="true" applyAlignment="true" applyProtection="false">
      <alignment horizontal="general" vertical="bottom" textRotation="0" wrapText="true" indent="0" shrinkToFit="false"/>
      <protection locked="true" hidden="false"/>
    </xf>
    <xf numFmtId="164" fontId="0" fillId="9" borderId="16" xfId="0" applyFont="false" applyBorder="true" applyAlignment="true" applyProtection="false">
      <alignment horizontal="general" vertical="bottom" textRotation="0" wrapText="true" indent="0" shrinkToFit="false"/>
      <protection locked="true" hidden="false"/>
    </xf>
    <xf numFmtId="166" fontId="4" fillId="10" borderId="17" xfId="0" applyFont="true" applyBorder="true" applyAlignment="true" applyProtection="false">
      <alignment horizontal="left" vertical="top" textRotation="0" wrapText="true" indent="0" shrinkToFit="false"/>
      <protection locked="true" hidden="false"/>
    </xf>
    <xf numFmtId="164" fontId="0" fillId="0" borderId="18" xfId="0" applyFont="true" applyBorder="true" applyAlignment="true" applyProtection="true">
      <alignment horizontal="left" vertical="top" textRotation="0" wrapText="true" indent="0" shrinkToFit="false"/>
      <protection locked="true" hidden="false"/>
    </xf>
    <xf numFmtId="164" fontId="4" fillId="0" borderId="18" xfId="0" applyFont="true" applyBorder="true" applyAlignment="true" applyProtection="false">
      <alignment horizontal="general" vertical="center" textRotation="0" wrapText="true" indent="0" shrinkToFit="false"/>
      <protection locked="true" hidden="false"/>
    </xf>
    <xf numFmtId="164" fontId="4" fillId="0" borderId="17" xfId="0" applyFont="true" applyBorder="true" applyAlignment="true" applyProtection="false">
      <alignment horizontal="left" vertical="top" textRotation="0" wrapText="true" indent="0" shrinkToFit="false"/>
      <protection locked="true" hidden="false"/>
    </xf>
    <xf numFmtId="168" fontId="4" fillId="10" borderId="17" xfId="0" applyFont="true" applyBorder="true" applyAlignment="true" applyProtection="false">
      <alignment horizontal="left" vertical="top" textRotation="0" wrapText="true" indent="0" shrinkToFit="false"/>
      <protection locked="true" hidden="false"/>
    </xf>
    <xf numFmtId="168" fontId="4" fillId="10" borderId="16" xfId="0" applyFont="true" applyBorder="true" applyAlignment="true" applyProtection="false">
      <alignment horizontal="left" vertical="top" textRotation="0" wrapText="true" indent="0" shrinkToFit="false"/>
      <protection locked="true" hidden="false"/>
    </xf>
    <xf numFmtId="164" fontId="4" fillId="0" borderId="18" xfId="0" applyFont="true" applyBorder="true" applyAlignment="true" applyProtection="false">
      <alignment horizontal="left" vertical="top" textRotation="0" wrapText="true" indent="0" shrinkToFit="false"/>
      <protection locked="true" hidden="false"/>
    </xf>
    <xf numFmtId="169" fontId="4" fillId="10" borderId="17" xfId="0" applyFont="true" applyBorder="true" applyAlignment="true" applyProtection="false">
      <alignment horizontal="left" vertical="top" textRotation="0" wrapText="true" indent="0" shrinkToFit="false"/>
      <protection locked="true" hidden="false"/>
    </xf>
    <xf numFmtId="169" fontId="4" fillId="10" borderId="16" xfId="0" applyFont="true" applyBorder="true" applyAlignment="true" applyProtection="false">
      <alignment horizontal="left" vertical="top" textRotation="0" wrapText="true" indent="0" shrinkToFit="false"/>
      <protection locked="true" hidden="false"/>
    </xf>
    <xf numFmtId="164" fontId="4" fillId="0" borderId="27" xfId="0" applyFont="true" applyBorder="true" applyAlignment="true" applyProtection="false">
      <alignment horizontal="general" vertical="bottom" textRotation="0" wrapText="true" indent="0" shrinkToFit="false"/>
      <protection locked="true" hidden="false"/>
    </xf>
    <xf numFmtId="165" fontId="5" fillId="4" borderId="22" xfId="0" applyFont="true" applyBorder="true" applyAlignment="true" applyProtection="false">
      <alignment horizontal="general" vertical="bottom" textRotation="0" wrapText="true" indent="0" shrinkToFit="false"/>
      <protection locked="true" hidden="false"/>
    </xf>
    <xf numFmtId="170" fontId="4" fillId="11" borderId="17" xfId="0" applyFont="true" applyBorder="true" applyAlignment="true" applyProtection="false">
      <alignment horizontal="left" vertical="top" textRotation="0" wrapText="true" indent="0" shrinkToFit="false"/>
      <protection locked="true" hidden="false"/>
    </xf>
    <xf numFmtId="170" fontId="4" fillId="13" borderId="17" xfId="0" applyFont="true" applyBorder="true" applyAlignment="true" applyProtection="false">
      <alignment horizontal="left" vertical="top" textRotation="0" wrapText="true" indent="0" shrinkToFit="false"/>
      <protection locked="true" hidden="false"/>
    </xf>
    <xf numFmtId="170" fontId="4" fillId="10" borderId="17" xfId="0" applyFont="true" applyBorder="true" applyAlignment="true" applyProtection="false">
      <alignment horizontal="left" vertical="top" textRotation="0" wrapText="true" indent="0" shrinkToFit="false"/>
      <protection locked="true" hidden="false"/>
    </xf>
    <xf numFmtId="164" fontId="4" fillId="0" borderId="6" xfId="0" applyFont="true" applyBorder="true" applyAlignment="true" applyProtection="false">
      <alignment horizontal="general" vertical="bottom" textRotation="0" wrapText="true" indent="0" shrinkToFit="false"/>
      <protection locked="true" hidden="false"/>
    </xf>
    <xf numFmtId="164" fontId="4" fillId="0" borderId="6" xfId="0" applyFont="true" applyBorder="true" applyAlignment="true" applyProtection="false">
      <alignment horizontal="general" vertical="top" textRotation="0" wrapText="true" indent="0" shrinkToFit="false"/>
      <protection locked="true" hidden="false"/>
    </xf>
    <xf numFmtId="166" fontId="4" fillId="11" borderId="17" xfId="0" applyFont="true" applyBorder="true" applyAlignment="true" applyProtection="false">
      <alignment horizontal="left" vertical="top" textRotation="0" wrapText="true" indent="0" shrinkToFit="false"/>
      <protection locked="true" hidden="false"/>
    </xf>
    <xf numFmtId="166" fontId="4" fillId="13" borderId="17" xfId="0" applyFont="true" applyBorder="true" applyAlignment="true" applyProtection="false">
      <alignment horizontal="left" vertical="top" textRotation="0" wrapText="true" indent="0" shrinkToFit="false"/>
      <protection locked="true" hidden="false"/>
    </xf>
    <xf numFmtId="164" fontId="4" fillId="0" borderId="6" xfId="0" applyFont="true" applyBorder="tru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general" vertical="bottom" textRotation="0" wrapText="true" indent="0" shrinkToFit="false"/>
      <protection locked="true" hidden="false"/>
    </xf>
    <xf numFmtId="165" fontId="5" fillId="0" borderId="28" xfId="0" applyFont="true" applyBorder="true" applyAlignment="true" applyProtection="false">
      <alignment horizontal="general" vertical="bottom" textRotation="0" wrapText="true" indent="0" shrinkToFit="false"/>
      <protection locked="true" hidden="false"/>
    </xf>
    <xf numFmtId="164" fontId="5" fillId="0" borderId="20" xfId="0" applyFont="true" applyBorder="true" applyAlignment="true" applyProtection="false">
      <alignment horizontal="general" vertical="bottom" textRotation="0" wrapText="true" indent="0" shrinkToFit="false"/>
      <protection locked="true" hidden="false"/>
    </xf>
    <xf numFmtId="164" fontId="0" fillId="0" borderId="29" xfId="0" applyFont="false" applyBorder="true" applyAlignment="true" applyProtection="false">
      <alignment horizontal="general" vertical="bottom" textRotation="0" wrapText="true" indent="0" shrinkToFit="false"/>
      <protection locked="true" hidden="false"/>
    </xf>
    <xf numFmtId="164" fontId="0" fillId="0" borderId="21" xfId="0" applyFont="false" applyBorder="true" applyAlignment="true" applyProtection="false">
      <alignment horizontal="general" vertical="bottom" textRotation="0" wrapText="true" indent="0" shrinkToFit="false"/>
      <protection locked="true" hidden="false"/>
    </xf>
    <xf numFmtId="164" fontId="5" fillId="2" borderId="26" xfId="0" applyFont="true" applyBorder="true" applyAlignment="true" applyProtection="false">
      <alignment horizontal="general" vertical="bottom" textRotation="0" wrapText="true" indent="0" shrinkToFit="false"/>
      <protection locked="true" hidden="false"/>
    </xf>
    <xf numFmtId="168" fontId="0" fillId="10" borderId="17" xfId="0" applyFont="false" applyBorder="true" applyAlignment="true" applyProtection="false">
      <alignment horizontal="general" vertical="bottom" textRotation="0" wrapText="true" indent="0" shrinkToFit="false"/>
      <protection locked="true" hidden="false"/>
    </xf>
    <xf numFmtId="169" fontId="0" fillId="10" borderId="17" xfId="0" applyFont="false" applyBorder="true" applyAlignment="true" applyProtection="false">
      <alignment horizontal="general" vertical="bottom" textRotation="0" wrapText="true" indent="0" shrinkToFit="false"/>
      <protection locked="true" hidden="false"/>
    </xf>
    <xf numFmtId="164" fontId="5" fillId="2" borderId="11" xfId="0" applyFont="true" applyBorder="true" applyAlignment="true" applyProtection="false">
      <alignment horizontal="general" vertical="bottom" textRotation="0" wrapText="true" indent="0" shrinkToFit="false"/>
      <protection locked="true" hidden="false"/>
    </xf>
    <xf numFmtId="164" fontId="0" fillId="10" borderId="17" xfId="0" applyFont="false" applyBorder="true" applyAlignment="true" applyProtection="false">
      <alignment horizontal="general" vertical="bottom" textRotation="0" wrapText="true" indent="0" shrinkToFit="false"/>
      <protection locked="true" hidden="false"/>
    </xf>
    <xf numFmtId="167" fontId="0" fillId="10" borderId="17" xfId="0" applyFont="false" applyBorder="true" applyAlignment="true" applyProtection="false">
      <alignment horizontal="general" vertical="bottom" textRotation="0" wrapText="true" indent="0" shrinkToFit="false"/>
      <protection locked="true" hidden="false"/>
    </xf>
    <xf numFmtId="165" fontId="5" fillId="0" borderId="0" xfId="0" applyFont="true" applyBorder="true" applyAlignment="true" applyProtection="false">
      <alignment horizontal="general" vertical="bottom" textRotation="0" wrapText="true" indent="0" shrinkToFit="false"/>
      <protection locked="true" hidden="false"/>
    </xf>
    <xf numFmtId="164" fontId="0" fillId="4" borderId="30" xfId="0" applyFont="true" applyBorder="true" applyAlignment="true" applyProtection="false">
      <alignment horizontal="justify" vertical="bottom" textRotation="0" wrapText="true" indent="0" shrinkToFit="false"/>
      <protection locked="true" hidden="false"/>
    </xf>
    <xf numFmtId="164" fontId="0" fillId="4" borderId="31" xfId="0" applyFont="false" applyBorder="true" applyAlignment="true" applyProtection="false">
      <alignment horizontal="justify" vertical="bottom" textRotation="0" wrapText="true" indent="0" shrinkToFit="false"/>
      <protection locked="true" hidden="false"/>
    </xf>
    <xf numFmtId="164" fontId="0" fillId="4" borderId="32" xfId="0" applyFont="true" applyBorder="true" applyAlignment="true" applyProtection="false">
      <alignment horizontal="justify" vertical="bottom" textRotation="0" wrapText="true" indent="0" shrinkToFit="false"/>
      <protection locked="true" hidden="false"/>
    </xf>
    <xf numFmtId="164" fontId="0" fillId="0" borderId="33" xfId="0" applyFont="false" applyBorder="true" applyAlignment="false" applyProtection="false">
      <alignment horizontal="general" vertical="bottom" textRotation="0" wrapText="false" indent="0" shrinkToFit="false"/>
      <protection locked="true" hidden="false"/>
    </xf>
    <xf numFmtId="164" fontId="0" fillId="0" borderId="33" xfId="0" applyFont="true" applyBorder="true" applyAlignment="true" applyProtection="false">
      <alignment horizontal="general" vertical="top" textRotation="0" wrapText="false" indent="0" shrinkToFit="false"/>
      <protection locked="true" hidden="false"/>
    </xf>
    <xf numFmtId="164" fontId="0" fillId="0" borderId="33" xfId="0" applyFont="false" applyBorder="true" applyAlignment="true" applyProtection="false">
      <alignment horizontal="general" vertical="bottom" textRotation="0" wrapText="true" indent="0" shrinkToFit="false"/>
      <protection locked="true" hidden="false"/>
    </xf>
    <xf numFmtId="164" fontId="0" fillId="0" borderId="32" xfId="0" applyFont="false" applyBorder="true" applyAlignment="true" applyProtection="false">
      <alignment horizontal="general" vertical="bottom" textRotation="0" wrapText="true" indent="0" shrinkToFit="false"/>
      <protection locked="true" hidden="false"/>
    </xf>
    <xf numFmtId="164" fontId="4" fillId="0" borderId="34" xfId="0" applyFont="true" applyBorder="true" applyAlignment="true" applyProtection="false">
      <alignment horizontal="general" vertical="bottom" textRotation="0" wrapText="true" indent="0" shrinkToFit="false"/>
      <protection locked="true" hidden="false"/>
    </xf>
    <xf numFmtId="164" fontId="0" fillId="4" borderId="35" xfId="0" applyFont="true" applyBorder="true" applyAlignment="true" applyProtection="false">
      <alignment horizontal="justify" vertical="bottom" textRotation="0" wrapText="true" indent="0" shrinkToFit="false"/>
      <protection locked="true" hidden="false"/>
    </xf>
    <xf numFmtId="164" fontId="0" fillId="4" borderId="6" xfId="0" applyFont="false" applyBorder="true" applyAlignment="true" applyProtection="false">
      <alignment horizontal="justify" vertical="bottom" textRotation="0" wrapText="true" indent="0" shrinkToFit="false"/>
      <protection locked="true" hidden="false"/>
    </xf>
    <xf numFmtId="164" fontId="0" fillId="4" borderId="17" xfId="0" applyFont="true" applyBorder="true" applyAlignment="true" applyProtection="false">
      <alignment horizontal="justify" vertical="bottom" textRotation="0" wrapText="true" indent="0" shrinkToFit="false"/>
      <protection locked="true" hidden="false"/>
    </xf>
    <xf numFmtId="164" fontId="0" fillId="0" borderId="16" xfId="0" applyFont="true" applyBorder="true" applyAlignment="true" applyProtection="false">
      <alignment horizontal="general" vertical="top" textRotation="0" wrapText="false" indent="0" shrinkToFit="false"/>
      <protection locked="true" hidden="false"/>
    </xf>
    <xf numFmtId="164" fontId="0" fillId="0" borderId="17" xfId="0" applyFont="false" applyBorder="true" applyAlignment="true" applyProtection="false">
      <alignment horizontal="general" vertical="bottom" textRotation="0" wrapText="true" indent="0" shrinkToFit="false"/>
      <protection locked="true" hidden="false"/>
    </xf>
    <xf numFmtId="164" fontId="0" fillId="0" borderId="36" xfId="0" applyFont="false" applyBorder="true" applyAlignment="false" applyProtection="false">
      <alignment horizontal="general" vertical="bottom" textRotation="0" wrapText="false" indent="0" shrinkToFit="false"/>
      <protection locked="true" hidden="false"/>
    </xf>
    <xf numFmtId="164" fontId="4" fillId="4" borderId="37" xfId="0" applyFont="true" applyBorder="true" applyAlignment="true" applyProtection="false">
      <alignment horizontal="justify" vertical="bottom" textRotation="0" wrapText="true" indent="0" shrinkToFit="false"/>
      <protection locked="true" hidden="false"/>
    </xf>
    <xf numFmtId="164" fontId="4" fillId="0" borderId="36" xfId="0" applyFont="true" applyBorder="true" applyAlignment="true" applyProtection="false">
      <alignment horizontal="general" vertical="bottom" textRotation="0" wrapText="true" indent="0" shrinkToFit="false"/>
      <protection locked="true" hidden="false"/>
    </xf>
    <xf numFmtId="164" fontId="0" fillId="4" borderId="35" xfId="0" applyFont="true" applyBorder="true" applyAlignment="true" applyProtection="false">
      <alignment horizontal="justify" vertical="center" textRotation="0" wrapText="true" indent="0" shrinkToFit="false"/>
      <protection locked="true" hidden="false"/>
    </xf>
    <xf numFmtId="164" fontId="0" fillId="4" borderId="6" xfId="0" applyFont="false" applyBorder="true" applyAlignment="true" applyProtection="false">
      <alignment horizontal="justify" vertical="center" textRotation="0" wrapText="true" indent="0" shrinkToFit="false"/>
      <protection locked="true" hidden="false"/>
    </xf>
    <xf numFmtId="164" fontId="4" fillId="4" borderId="37" xfId="0" applyFont="true" applyBorder="true" applyAlignment="true" applyProtection="false">
      <alignment horizontal="justify" vertical="center" textRotation="0" wrapText="true" indent="0" shrinkToFit="false"/>
      <protection locked="true" hidden="false"/>
    </xf>
    <xf numFmtId="164" fontId="0" fillId="0" borderId="16" xfId="0" applyFont="false" applyBorder="true" applyAlignment="true" applyProtection="false">
      <alignment horizontal="general" vertical="center" textRotation="0" wrapText="false" indent="0" shrinkToFit="false"/>
      <protection locked="true" hidden="false"/>
    </xf>
    <xf numFmtId="164" fontId="0" fillId="0" borderId="16" xfId="0" applyFont="true" applyBorder="true" applyAlignment="true" applyProtection="false">
      <alignment horizontal="general" vertical="center" textRotation="0" wrapText="false" indent="0" shrinkToFit="false"/>
      <protection locked="true" hidden="false"/>
    </xf>
    <xf numFmtId="164" fontId="4" fillId="0" borderId="16" xfId="0" applyFont="true" applyBorder="true" applyAlignment="true" applyProtection="false">
      <alignment horizontal="general" vertical="center" textRotation="0" wrapText="false" indent="0" shrinkToFit="false"/>
      <protection locked="true" hidden="false"/>
    </xf>
    <xf numFmtId="164" fontId="0" fillId="0" borderId="16" xfId="0" applyFont="false" applyBorder="true" applyAlignment="true" applyProtection="false">
      <alignment horizontal="general" vertical="center" textRotation="0" wrapText="true" indent="0" shrinkToFit="false"/>
      <protection locked="true" hidden="false"/>
    </xf>
    <xf numFmtId="166" fontId="0" fillId="10" borderId="16" xfId="0" applyFont="false" applyBorder="true" applyAlignment="true" applyProtection="false">
      <alignment horizontal="general" vertical="center" textRotation="0" wrapText="true" indent="0" shrinkToFit="false"/>
      <protection locked="true" hidden="false"/>
    </xf>
    <xf numFmtId="164" fontId="4" fillId="0" borderId="38"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4" borderId="39" xfId="0" applyFont="true" applyBorder="true" applyAlignment="true" applyProtection="false">
      <alignment horizontal="justify" vertical="center" textRotation="0" wrapText="true" indent="0" shrinkToFit="false"/>
      <protection locked="true" hidden="false"/>
    </xf>
    <xf numFmtId="164" fontId="0" fillId="4" borderId="40" xfId="0" applyFont="false" applyBorder="true" applyAlignment="true" applyProtection="false">
      <alignment horizontal="justify" vertical="center" textRotation="0" wrapText="true" indent="0" shrinkToFit="false"/>
      <protection locked="true" hidden="false"/>
    </xf>
    <xf numFmtId="164" fontId="4" fillId="4" borderId="41" xfId="0" applyFont="true" applyBorder="true" applyAlignment="true" applyProtection="false">
      <alignment horizontal="justify" vertical="center" textRotation="0" wrapText="true" indent="0" shrinkToFit="false"/>
      <protection locked="true" hidden="false"/>
    </xf>
    <xf numFmtId="164" fontId="0" fillId="0" borderId="42" xfId="0" applyFont="false" applyBorder="true" applyAlignment="true" applyProtection="false">
      <alignment horizontal="general" vertical="center" textRotation="0" wrapText="false" indent="0" shrinkToFit="false"/>
      <protection locked="true" hidden="false"/>
    </xf>
    <xf numFmtId="164" fontId="0" fillId="0" borderId="42" xfId="0" applyFont="true" applyBorder="true" applyAlignment="true" applyProtection="false">
      <alignment horizontal="general" vertical="center" textRotation="0" wrapText="false" indent="0" shrinkToFit="false"/>
      <protection locked="true" hidden="false"/>
    </xf>
    <xf numFmtId="164" fontId="4" fillId="0" borderId="42" xfId="0" applyFont="true" applyBorder="true" applyAlignment="true" applyProtection="false">
      <alignment horizontal="general" vertical="center" textRotation="0" wrapText="false" indent="0" shrinkToFit="false"/>
      <protection locked="true" hidden="false"/>
    </xf>
    <xf numFmtId="164" fontId="0" fillId="10" borderId="42" xfId="0" applyFont="false" applyBorder="true" applyAlignment="true" applyProtection="false">
      <alignment horizontal="general" vertical="bottom" textRotation="0" wrapText="true" indent="0" shrinkToFit="false"/>
      <protection locked="true" hidden="false"/>
    </xf>
    <xf numFmtId="164" fontId="0" fillId="10" borderId="41" xfId="0" applyFont="false" applyBorder="true" applyAlignment="true" applyProtection="false">
      <alignment horizontal="general" vertical="bottom" textRotation="0" wrapText="true" indent="0" shrinkToFit="false"/>
      <protection locked="true" hidden="false"/>
    </xf>
    <xf numFmtId="164" fontId="4" fillId="0" borderId="43" xfId="0" applyFont="true" applyBorder="true" applyAlignment="true" applyProtection="false">
      <alignment horizontal="general" vertical="center" textRotation="0" wrapText="true" indent="0" shrinkToFit="false"/>
      <protection locked="true" hidden="false"/>
    </xf>
    <xf numFmtId="164" fontId="5" fillId="2" borderId="44" xfId="0" applyFont="true" applyBorder="true" applyAlignment="false" applyProtection="false">
      <alignment horizontal="general" vertical="bottom" textRotation="0" wrapText="false" indent="0" shrinkToFit="false"/>
      <protection locked="true" hidden="false"/>
    </xf>
    <xf numFmtId="164" fontId="0" fillId="2" borderId="45" xfId="0" applyFont="false" applyBorder="true" applyAlignment="false" applyProtection="false">
      <alignment horizontal="general" vertical="bottom" textRotation="0" wrapText="false" indent="0" shrinkToFit="false"/>
      <protection locked="true" hidden="false"/>
    </xf>
    <xf numFmtId="164" fontId="0" fillId="3" borderId="46" xfId="0" applyFont="false" applyBorder="true" applyAlignment="false" applyProtection="false">
      <alignment horizontal="general" vertical="bottom" textRotation="0" wrapText="false" indent="0" shrinkToFit="false"/>
      <protection locked="true" hidden="false"/>
    </xf>
    <xf numFmtId="164" fontId="0" fillId="0" borderId="47" xfId="0" applyFont="true" applyBorder="true" applyAlignment="false" applyProtection="false">
      <alignment horizontal="general" vertical="bottom" textRotation="0" wrapText="false" indent="0" shrinkToFit="false"/>
      <protection locked="true" hidden="false"/>
    </xf>
    <xf numFmtId="164" fontId="0" fillId="14"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4"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6" borderId="7" xfId="0" applyFont="false" applyBorder="true" applyAlignment="false" applyProtection="false">
      <alignment horizontal="general" vertical="bottom" textRotation="0" wrapText="false" indent="0" shrinkToFit="false"/>
      <protection locked="true" hidden="false"/>
    </xf>
    <xf numFmtId="164" fontId="0" fillId="0" borderId="48"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0" fillId="0" borderId="49" xfId="0" applyFont="true" applyBorder="true" applyAlignment="false" applyProtection="false">
      <alignment horizontal="general" vertical="bottom" textRotation="0" wrapText="false" indent="0" shrinkToFit="false"/>
      <protection locked="true" hidden="false"/>
    </xf>
    <xf numFmtId="164" fontId="0" fillId="16" borderId="0" xfId="0" applyFont="false" applyBorder="false" applyAlignment="false" applyProtection="false">
      <alignment horizontal="general" vertical="bottom" textRotation="0" wrapText="false" indent="0" shrinkToFit="false"/>
      <protection locked="true" hidden="false"/>
    </xf>
    <xf numFmtId="164" fontId="5" fillId="4" borderId="0" xfId="0" applyFont="true" applyBorder="true" applyAlignment="false" applyProtection="false">
      <alignment horizontal="general" vertical="bottom" textRotation="0" wrapText="false" indent="0" shrinkToFit="false"/>
      <protection locked="true" hidden="false"/>
    </xf>
    <xf numFmtId="164" fontId="5" fillId="10" borderId="50" xfId="0" applyFont="true" applyBorder="true" applyAlignment="true" applyProtection="false">
      <alignment horizontal="right" vertical="bottom" textRotation="0" wrapText="false" indent="0" shrinkToFit="false"/>
      <protection locked="true" hidden="false"/>
    </xf>
    <xf numFmtId="164" fontId="0" fillId="10" borderId="6" xfId="0" applyFont="true" applyBorder="true" applyAlignment="true" applyProtection="false">
      <alignment horizontal="general" vertical="bottom" textRotation="0" wrapText="true" indent="0" shrinkToFit="false"/>
      <protection locked="true" hidden="false"/>
    </xf>
    <xf numFmtId="164" fontId="4" fillId="10" borderId="6" xfId="0" applyFont="true" applyBorder="true" applyAlignment="true" applyProtection="false">
      <alignment horizontal="general" vertical="bottom" textRotation="0" wrapText="true" indent="0" shrinkToFit="false"/>
      <protection locked="true" hidden="false"/>
    </xf>
    <xf numFmtId="171" fontId="4" fillId="10" borderId="16" xfId="0" applyFont="true" applyBorder="true" applyAlignment="false" applyProtection="false">
      <alignment horizontal="general" vertical="bottom" textRotation="0" wrapText="false" indent="0" shrinkToFit="false"/>
      <protection locked="true" hidden="false"/>
    </xf>
    <xf numFmtId="164" fontId="4" fillId="10" borderId="6" xfId="0" applyFont="true" applyBorder="true" applyAlignment="true" applyProtection="false">
      <alignment horizontal="general" vertical="top" textRotation="0" wrapText="true" indent="0" shrinkToFit="false"/>
      <protection locked="true" hidden="false"/>
    </xf>
    <xf numFmtId="171" fontId="4" fillId="10" borderId="6" xfId="0" applyFont="true" applyBorder="true" applyAlignment="true" applyProtection="false">
      <alignment horizontal="general" vertical="top" textRotation="0" wrapText="true" indent="0" shrinkToFit="false"/>
      <protection locked="true" hidden="false"/>
    </xf>
    <xf numFmtId="164" fontId="6" fillId="10" borderId="6" xfId="0" applyFont="true" applyBorder="true" applyAlignment="true" applyProtection="false">
      <alignment horizontal="general" vertical="top" textRotation="0" wrapText="true" indent="0" shrinkToFit="false"/>
      <protection locked="true" hidden="false"/>
    </xf>
    <xf numFmtId="172" fontId="4" fillId="10" borderId="6" xfId="0" applyFont="true" applyBorder="true" applyAlignment="true" applyProtection="false">
      <alignment horizontal="general" vertical="top" textRotation="0" wrapText="true" indent="0" shrinkToFit="false"/>
      <protection locked="true" hidden="false"/>
    </xf>
    <xf numFmtId="164" fontId="5" fillId="4" borderId="50" xfId="0" applyFont="true" applyBorder="true" applyAlignment="true" applyProtection="false">
      <alignment horizontal="right" vertical="bottom" textRotation="0" wrapText="false" indent="0" shrinkToFit="false"/>
      <protection locked="true" hidden="false"/>
    </xf>
    <xf numFmtId="164" fontId="4" fillId="4" borderId="6" xfId="0" applyFont="true" applyBorder="true" applyAlignment="true" applyProtection="false">
      <alignment horizontal="general" vertical="bottom" textRotation="0" wrapText="true" indent="0" shrinkToFit="false"/>
      <protection locked="true" hidden="false"/>
    </xf>
    <xf numFmtId="171" fontId="4" fillId="4" borderId="16" xfId="0" applyFont="true" applyBorder="true" applyAlignment="false" applyProtection="false">
      <alignment horizontal="general" vertical="bottom" textRotation="0" wrapText="false" indent="0" shrinkToFit="false"/>
      <protection locked="true" hidden="false"/>
    </xf>
    <xf numFmtId="164" fontId="0" fillId="4" borderId="6"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44" xfId="0" applyFont="true" applyBorder="true" applyAlignment="false" applyProtection="false">
      <alignment horizontal="general" vertical="bottom" textRotation="0" wrapText="false" indent="0" shrinkToFit="false"/>
      <protection locked="true" hidden="false"/>
    </xf>
    <xf numFmtId="164" fontId="8" fillId="0" borderId="45" xfId="0" applyFont="true" applyBorder="true" applyAlignment="false" applyProtection="false">
      <alignment horizontal="general" vertical="bottom" textRotation="0" wrapText="false" indent="0" shrinkToFit="false"/>
      <protection locked="true" hidden="false"/>
    </xf>
    <xf numFmtId="164" fontId="8" fillId="0" borderId="50" xfId="0" applyFont="true" applyBorder="true" applyAlignment="false" applyProtection="false">
      <alignment horizontal="general" vertical="bottom" textRotation="0" wrapText="false" indent="0" shrinkToFit="false"/>
      <protection locked="true" hidden="false"/>
    </xf>
    <xf numFmtId="164" fontId="7" fillId="0" borderId="26" xfId="0" applyFont="true" applyBorder="true" applyAlignment="false" applyProtection="false">
      <alignment horizontal="general"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8" fillId="0" borderId="10"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51" xfId="0" applyFont="true" applyBorder="true" applyAlignment="true" applyProtection="false">
      <alignment horizontal="general" vertical="bottom" textRotation="0" wrapText="true" indent="0" shrinkToFit="false"/>
      <protection locked="true" hidden="false"/>
    </xf>
    <xf numFmtId="164" fontId="8" fillId="0" borderId="52" xfId="0" applyFont="true" applyBorder="true" applyAlignment="true" applyProtection="false">
      <alignment horizontal="general" vertical="bottom" textRotation="0" wrapText="true" indent="0" shrinkToFit="false"/>
      <protection locked="true" hidden="false"/>
    </xf>
    <xf numFmtId="164" fontId="8" fillId="0" borderId="15" xfId="0" applyFont="true" applyBorder="true" applyAlignment="true" applyProtection="false">
      <alignment horizontal="general" vertical="bottom" textRotation="0" wrapText="true" indent="0" shrinkToFit="false"/>
      <protection locked="true" hidden="false"/>
    </xf>
    <xf numFmtId="164" fontId="8" fillId="0" borderId="14" xfId="0" applyFont="true" applyBorder="true" applyAlignment="true" applyProtection="false">
      <alignment horizontal="center" vertical="bottom" textRotation="0" wrapText="false" indent="0" shrinkToFit="false"/>
      <protection locked="true" hidden="false"/>
    </xf>
    <xf numFmtId="164" fontId="8" fillId="0" borderId="15" xfId="0" applyFont="true" applyBorder="true" applyAlignment="true" applyProtection="false">
      <alignment horizontal="center" vertical="bottom" textRotation="0" wrapText="false" indent="0" shrinkToFit="false"/>
      <protection locked="true" hidden="false"/>
    </xf>
    <xf numFmtId="164" fontId="8" fillId="0" borderId="4" xfId="0" applyFont="true" applyBorder="true" applyAlignment="true" applyProtection="false">
      <alignment horizontal="general" vertical="bottom" textRotation="0" wrapText="true" indent="0" shrinkToFit="false"/>
      <protection locked="true" hidden="false"/>
    </xf>
    <xf numFmtId="164" fontId="8" fillId="0" borderId="46" xfId="0" applyFont="true" applyBorder="true" applyAlignment="true" applyProtection="false">
      <alignment horizontal="general" vertical="bottom" textRotation="0" wrapText="true" indent="0" shrinkToFit="false"/>
      <protection locked="true" hidden="false"/>
    </xf>
    <xf numFmtId="164" fontId="8" fillId="0" borderId="53" xfId="0" applyFont="true" applyBorder="true" applyAlignment="true" applyProtection="false">
      <alignment horizontal="center" vertical="bottom" textRotation="0" wrapText="true" indent="0" shrinkToFit="false"/>
      <protection locked="true" hidden="false"/>
    </xf>
    <xf numFmtId="164" fontId="8" fillId="0" borderId="54" xfId="0" applyFont="true" applyBorder="true" applyAlignment="true" applyProtection="false">
      <alignment horizontal="center" vertical="bottom" textRotation="0" wrapText="true" indent="0" shrinkToFit="false"/>
      <protection locked="true" hidden="false"/>
    </xf>
    <xf numFmtId="164" fontId="8" fillId="0" borderId="47" xfId="0" applyFont="true" applyBorder="true" applyAlignment="true" applyProtection="false">
      <alignment horizontal="center" vertical="bottom" textRotation="0" wrapText="true" indent="0" shrinkToFit="false"/>
      <protection locked="true" hidden="false"/>
    </xf>
    <xf numFmtId="164" fontId="8" fillId="0" borderId="55" xfId="0" applyFont="true" applyBorder="true" applyAlignment="true" applyProtection="false">
      <alignment horizontal="center" vertical="bottom" textRotation="0" wrapText="true" indent="0" shrinkToFit="false"/>
      <protection locked="true" hidden="false"/>
    </xf>
    <xf numFmtId="164" fontId="8" fillId="0" borderId="56" xfId="0" applyFont="true" applyBorder="true" applyAlignment="true" applyProtection="false">
      <alignment horizontal="center" vertical="bottom" textRotation="0" wrapText="true" indent="0" shrinkToFit="false"/>
      <protection locked="true" hidden="false"/>
    </xf>
    <xf numFmtId="164" fontId="8" fillId="0" borderId="57" xfId="0" applyFont="true" applyBorder="true" applyAlignment="true" applyProtection="false">
      <alignment horizontal="general" vertical="bottom" textRotation="0" wrapText="true" indent="0" shrinkToFit="false"/>
      <protection locked="true" hidden="false"/>
    </xf>
    <xf numFmtId="164" fontId="8" fillId="0" borderId="58" xfId="21" applyFont="true" applyBorder="true" applyAlignment="false" applyProtection="false">
      <alignment horizontal="general" vertical="bottom" textRotation="0" wrapText="false" indent="0" shrinkToFit="false"/>
      <protection locked="true" hidden="false"/>
    </xf>
    <xf numFmtId="164" fontId="8" fillId="0" borderId="59" xfId="0" applyFont="true" applyBorder="true" applyAlignment="true" applyProtection="false">
      <alignment horizontal="general" vertical="bottom" textRotation="0" wrapText="true" indent="0" shrinkToFit="false"/>
      <protection locked="true" hidden="false"/>
    </xf>
    <xf numFmtId="168" fontId="7" fillId="10" borderId="16" xfId="0" applyFont="true" applyBorder="true" applyAlignment="true" applyProtection="false">
      <alignment horizontal="center" vertical="bottom" textRotation="0" wrapText="true" indent="0" shrinkToFit="false"/>
      <protection locked="true" hidden="false"/>
    </xf>
    <xf numFmtId="168" fontId="7" fillId="0" borderId="60" xfId="0" applyFont="true" applyBorder="true" applyAlignment="true" applyProtection="false">
      <alignment horizontal="general" vertical="bottom" textRotation="0" wrapText="true" indent="0" shrinkToFit="false"/>
      <protection locked="true" hidden="false"/>
    </xf>
    <xf numFmtId="168" fontId="7" fillId="0" borderId="61" xfId="0" applyFont="true" applyBorder="true" applyAlignment="true" applyProtection="false">
      <alignment horizontal="general" vertical="bottom" textRotation="0" wrapText="true" indent="0" shrinkToFit="false"/>
      <protection locked="true" hidden="false"/>
    </xf>
    <xf numFmtId="168" fontId="7" fillId="0" borderId="2" xfId="0" applyFont="true" applyBorder="true" applyAlignment="true" applyProtection="false">
      <alignment horizontal="general" vertical="bottom" textRotation="0" wrapText="tru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8" fillId="0" borderId="22" xfId="0" applyFont="true" applyBorder="true" applyAlignment="true" applyProtection="false">
      <alignment horizontal="general" vertical="bottom" textRotation="0" wrapText="true" indent="0" shrinkToFit="false"/>
      <protection locked="true" hidden="false"/>
    </xf>
    <xf numFmtId="164" fontId="8" fillId="0" borderId="18" xfId="21" applyFont="true" applyBorder="true" applyAlignment="false" applyProtection="false">
      <alignment horizontal="general" vertical="bottom" textRotation="0" wrapText="false" indent="0" shrinkToFit="false"/>
      <protection locked="true" hidden="false"/>
    </xf>
    <xf numFmtId="164" fontId="8" fillId="0" borderId="62" xfId="0" applyFont="true" applyBorder="true" applyAlignment="true" applyProtection="false">
      <alignment horizontal="general" vertical="bottom" textRotation="0" wrapText="true" indent="0" shrinkToFit="false"/>
      <protection locked="true" hidden="false"/>
    </xf>
    <xf numFmtId="168" fontId="7" fillId="0" borderId="29" xfId="0" applyFont="true" applyBorder="true" applyAlignment="true" applyProtection="false">
      <alignment horizontal="general" vertical="bottom" textRotation="0" wrapText="true" indent="0" shrinkToFit="false"/>
      <protection locked="true" hidden="false"/>
    </xf>
    <xf numFmtId="168" fontId="7" fillId="0" borderId="23"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8" fontId="7" fillId="0" borderId="16" xfId="0" applyFont="true" applyBorder="true" applyAlignment="true" applyProtection="false">
      <alignment horizontal="general" vertical="bottom" textRotation="0" wrapText="true" indent="0" shrinkToFit="false"/>
      <protection locked="true" hidden="false"/>
    </xf>
    <xf numFmtId="168" fontId="7" fillId="0" borderId="6"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8" fontId="7" fillId="0" borderId="63" xfId="0" applyFont="true" applyBorder="true" applyAlignment="true" applyProtection="false">
      <alignment horizontal="general" vertical="bottom" textRotation="0" wrapText="true" indent="0" shrinkToFit="false"/>
      <protection locked="true" hidden="false"/>
    </xf>
    <xf numFmtId="164" fontId="8" fillId="0" borderId="12" xfId="0" applyFont="true" applyBorder="true" applyAlignment="false" applyProtection="false">
      <alignment horizontal="general" vertical="bottom" textRotation="0" wrapText="false" indent="0" shrinkToFit="false"/>
      <protection locked="true" hidden="false"/>
    </xf>
    <xf numFmtId="164" fontId="8" fillId="0" borderId="64" xfId="0" applyFont="true" applyBorder="true" applyAlignment="false" applyProtection="false">
      <alignment horizontal="general" vertical="bottom" textRotation="0" wrapText="false" indent="0" shrinkToFit="false"/>
      <protection locked="true" hidden="false"/>
    </xf>
    <xf numFmtId="168" fontId="8" fillId="0" borderId="65" xfId="0" applyFont="true" applyBorder="true" applyAlignment="false" applyProtection="false">
      <alignment horizontal="general" vertical="bottom" textRotation="0" wrapText="false" indent="0" shrinkToFit="false"/>
      <protection locked="true" hidden="false"/>
    </xf>
    <xf numFmtId="168" fontId="8" fillId="0" borderId="44" xfId="0" applyFont="true" applyBorder="true" applyAlignment="false" applyProtection="false">
      <alignment horizontal="general" vertical="bottom" textRotation="0" wrapText="false" indent="0" shrinkToFit="false"/>
      <protection locked="true" hidden="false"/>
    </xf>
    <xf numFmtId="168" fontId="7" fillId="0" borderId="0" xfId="0" applyFont="true" applyBorder="false" applyAlignment="false" applyProtection="false">
      <alignment horizontal="general" vertical="bottom" textRotation="0" wrapText="false" indent="0" shrinkToFit="false"/>
      <protection locked="true" hidden="false"/>
    </xf>
    <xf numFmtId="164" fontId="8" fillId="0" borderId="58" xfId="0" applyFont="true" applyBorder="true" applyAlignment="true" applyProtection="false">
      <alignment horizontal="general" vertical="bottom" textRotation="0" wrapText="true" indent="0" shrinkToFit="false"/>
      <protection locked="true" hidden="false"/>
    </xf>
    <xf numFmtId="168" fontId="7" fillId="12" borderId="60" xfId="0" applyFont="true" applyBorder="true" applyAlignment="true" applyProtection="false">
      <alignment horizontal="general" vertical="bottom" textRotation="0" wrapText="true" indent="0" shrinkToFit="false"/>
      <protection locked="true" hidden="false"/>
    </xf>
    <xf numFmtId="164" fontId="8" fillId="0" borderId="18" xfId="0" applyFont="true" applyBorder="true" applyAlignment="true" applyProtection="false">
      <alignment horizontal="general" vertical="bottom" textRotation="0" wrapText="true" indent="0" shrinkToFit="false"/>
      <protection locked="true" hidden="false"/>
    </xf>
    <xf numFmtId="168" fontId="7" fillId="12" borderId="29" xfId="0" applyFont="true" applyBorder="true" applyAlignment="true" applyProtection="false">
      <alignment horizontal="general" vertical="bottom" textRotation="0" wrapText="true" indent="0" shrinkToFit="false"/>
      <protection locked="true" hidden="false"/>
    </xf>
    <xf numFmtId="164" fontId="8" fillId="0" borderId="49" xfId="0" applyFont="true" applyBorder="true" applyAlignment="false" applyProtection="false">
      <alignment horizontal="general" vertical="bottom" textRotation="0" wrapText="false" indent="0" shrinkToFit="false"/>
      <protection locked="true" hidden="false"/>
    </xf>
    <xf numFmtId="164" fontId="7" fillId="0" borderId="0" xfId="21" applyFont="true" applyBorder="false" applyAlignment="false" applyProtection="false">
      <alignment horizontal="general" vertical="bottom" textRotation="0" wrapText="false" indent="0" shrinkToFit="false"/>
      <protection locked="true" hidden="false"/>
    </xf>
    <xf numFmtId="164" fontId="5" fillId="4" borderId="50" xfId="0" applyFont="true" applyBorder="true" applyAlignment="false" applyProtection="false">
      <alignment horizontal="general"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2" borderId="46" xfId="0" applyFont="true" applyBorder="true" applyAlignment="true" applyProtection="false">
      <alignment horizontal="general" vertical="bottom" textRotation="0" wrapText="true" indent="0" shrinkToFit="false"/>
      <protection locked="true" hidden="false"/>
    </xf>
    <xf numFmtId="164" fontId="5" fillId="2" borderId="4" xfId="0" applyFont="true" applyBorder="true" applyAlignment="true" applyProtection="false">
      <alignment horizontal="center" vertical="bottom" textRotation="0" wrapText="false" indent="0" shrinkToFit="false"/>
      <protection locked="true" hidden="false"/>
    </xf>
    <xf numFmtId="164" fontId="5" fillId="2" borderId="47" xfId="0" applyFont="true" applyBorder="true" applyAlignment="true" applyProtection="false">
      <alignment horizontal="center" vertical="bottom" textRotation="0" wrapText="false" indent="0" shrinkToFit="false"/>
      <protection locked="true" hidden="false"/>
    </xf>
    <xf numFmtId="164" fontId="5" fillId="0" borderId="57" xfId="0" applyFont="true" applyBorder="true" applyAlignment="true" applyProtection="false">
      <alignment horizontal="general" vertical="center" textRotation="0" wrapText="true" indent="0" shrinkToFit="false"/>
      <protection locked="true" hidden="false"/>
    </xf>
    <xf numFmtId="164" fontId="4" fillId="12" borderId="60" xfId="0" applyFont="true" applyBorder="true" applyAlignment="true" applyProtection="false">
      <alignment horizontal="general" vertical="center" textRotation="0" wrapText="true" indent="0" shrinkToFit="false"/>
      <protection locked="true" hidden="false"/>
    </xf>
    <xf numFmtId="164" fontId="4" fillId="12" borderId="2"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5" fillId="0" borderId="22" xfId="0" applyFont="true" applyBorder="true" applyAlignment="true" applyProtection="false">
      <alignment horizontal="general" vertical="center" textRotation="0" wrapText="true" indent="0" shrinkToFit="false"/>
      <protection locked="true" hidden="false"/>
    </xf>
    <xf numFmtId="164" fontId="4" fillId="12" borderId="23" xfId="0" applyFont="true" applyBorder="true" applyAlignment="true" applyProtection="false">
      <alignment horizontal="general" vertical="center" textRotation="0" wrapText="true" indent="0" shrinkToFit="false"/>
      <protection locked="true" hidden="false"/>
    </xf>
    <xf numFmtId="164" fontId="4" fillId="12" borderId="6" xfId="0" applyFont="true" applyBorder="true" applyAlignment="true" applyProtection="false">
      <alignment horizontal="left" vertical="center" textRotation="0" wrapText="true" indent="0" shrinkToFit="false"/>
      <protection locked="true" hidden="false"/>
    </xf>
    <xf numFmtId="164" fontId="4" fillId="12" borderId="6" xfId="0" applyFont="true" applyBorder="true" applyAlignment="true" applyProtection="false">
      <alignment horizontal="general" vertical="center" textRotation="0" wrapText="true" indent="0" shrinkToFit="false"/>
      <protection locked="true" hidden="false"/>
    </xf>
    <xf numFmtId="164" fontId="4" fillId="12" borderId="5" xfId="0" applyFont="true" applyBorder="true" applyAlignment="true" applyProtection="false">
      <alignment horizontal="left" vertical="center" textRotation="0" wrapText="true" indent="0" shrinkToFit="false"/>
      <protection locked="true" hidden="false"/>
    </xf>
    <xf numFmtId="164" fontId="0" fillId="0" borderId="17" xfId="0" applyFont="true" applyBorder="true" applyAlignment="true" applyProtection="false">
      <alignment horizontal="left" vertical="center" textRotation="0" wrapText="true" indent="0" shrinkToFit="false"/>
      <protection locked="true" hidden="false"/>
    </xf>
    <xf numFmtId="164" fontId="5" fillId="0" borderId="66" xfId="0" applyFont="true" applyBorder="true" applyAlignment="true" applyProtection="false">
      <alignment horizontal="general" vertical="center" textRotation="0" wrapText="true" indent="0" shrinkToFit="false"/>
      <protection locked="true" hidden="false"/>
    </xf>
    <xf numFmtId="164" fontId="4" fillId="12" borderId="10" xfId="0" applyFont="true" applyBorder="true" applyAlignment="true" applyProtection="false">
      <alignment horizontal="general" vertical="center" textRotation="0" wrapText="true" indent="0" shrinkToFit="false"/>
      <protection locked="true" hidden="false"/>
    </xf>
    <xf numFmtId="164" fontId="4" fillId="12" borderId="11" xfId="0" applyFont="true" applyBorder="true" applyAlignment="true" applyProtection="false">
      <alignment horizontal="general" vertical="center" textRotation="0" wrapText="true" indent="0" shrinkToFit="false"/>
      <protection locked="true" hidden="false"/>
    </xf>
    <xf numFmtId="164" fontId="4" fillId="12" borderId="51" xfId="0" applyFont="true" applyBorder="true" applyAlignment="true" applyProtection="false">
      <alignment horizontal="general" vertical="center" textRotation="0" wrapText="true" indent="0" shrinkToFit="false"/>
      <protection locked="true" hidden="false"/>
    </xf>
    <xf numFmtId="164" fontId="4" fillId="12" borderId="14" xfId="0" applyFont="true" applyBorder="true" applyAlignment="true" applyProtection="false">
      <alignment horizontal="center" vertical="center" textRotation="0" wrapText="true" indent="0" shrinkToFit="false"/>
      <protection locked="true" hidden="false"/>
    </xf>
    <xf numFmtId="164" fontId="4" fillId="12" borderId="44" xfId="0" applyFont="true" applyBorder="true" applyAlignment="true" applyProtection="false">
      <alignment horizontal="left" vertical="center" textRotation="0" wrapText="true" indent="0" shrinkToFit="false"/>
      <protection locked="true" hidden="false"/>
    </xf>
    <xf numFmtId="164" fontId="4" fillId="12" borderId="45" xfId="0" applyFont="true" applyBorder="true" applyAlignment="true" applyProtection="false">
      <alignment horizontal="center" vertical="center" textRotation="0" wrapText="true" indent="0" shrinkToFit="false"/>
      <protection locked="true" hidden="false"/>
    </xf>
    <xf numFmtId="164" fontId="5" fillId="2" borderId="51" xfId="0" applyFont="true" applyBorder="true" applyAlignment="true" applyProtection="false">
      <alignment horizontal="center" vertical="bottom" textRotation="0" wrapText="false" indent="0" shrinkToFit="false"/>
      <protection locked="true" hidden="false"/>
    </xf>
    <xf numFmtId="164" fontId="5" fillId="2" borderId="15" xfId="0" applyFont="true" applyBorder="true" applyAlignment="true" applyProtection="false">
      <alignment horizontal="center" vertical="bottom" textRotation="0" wrapText="false" indent="0" shrinkToFit="false"/>
      <protection locked="true" hidden="false"/>
    </xf>
    <xf numFmtId="164" fontId="4" fillId="0" borderId="44" xfId="0" applyFont="true" applyBorder="true" applyAlignment="true" applyProtection="false">
      <alignment horizontal="left" vertical="center" textRotation="0" wrapText="true" indent="0" shrinkToFit="false"/>
      <protection locked="true" hidden="false"/>
    </xf>
    <xf numFmtId="164" fontId="4" fillId="0" borderId="45" xfId="0" applyFont="true" applyBorder="true" applyAlignment="true" applyProtection="false">
      <alignment horizontal="left" vertical="center" textRotation="0" wrapText="true" indent="0" shrinkToFit="false"/>
      <protection locked="true" hidden="false"/>
    </xf>
    <xf numFmtId="164" fontId="0" fillId="0" borderId="10" xfId="0" applyFont="false" applyBorder="true" applyAlignment="true" applyProtection="false">
      <alignment horizontal="left" vertical="center" textRotation="0" wrapText="true" indent="0" shrinkToFit="false"/>
      <protection locked="true" hidden="false"/>
    </xf>
    <xf numFmtId="164" fontId="0" fillId="0" borderId="11" xfId="0" applyFont="false" applyBorder="true" applyAlignment="true" applyProtection="false">
      <alignment horizontal="center" vertical="center" textRotation="0" wrapText="true" indent="0" shrinkToFit="false"/>
      <protection locked="true" hidden="false"/>
    </xf>
    <xf numFmtId="164" fontId="4" fillId="0" borderId="45"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2" xfId="0" applyFont="true" applyBorder="true" applyAlignment="true" applyProtection="false">
      <alignment horizontal="left" vertical="center" textRotation="0" wrapText="true" indent="0" shrinkToFit="false"/>
      <protection locked="true" hidden="false"/>
    </xf>
    <xf numFmtId="164" fontId="5" fillId="2" borderId="67" xfId="0" applyFont="true" applyBorder="true" applyAlignment="true" applyProtection="false">
      <alignment horizontal="center" vertical="bottom" textRotation="0" wrapText="false" indent="0" shrinkToFit="false"/>
      <protection locked="true" hidden="false"/>
    </xf>
    <xf numFmtId="164" fontId="5" fillId="2" borderId="45" xfId="0" applyFont="true" applyBorder="true" applyAlignment="true" applyProtection="false">
      <alignment horizontal="center" vertical="bottom" textRotation="0" wrapText="false" indent="0" shrinkToFit="false"/>
      <protection locked="true" hidden="false"/>
    </xf>
    <xf numFmtId="164" fontId="4" fillId="0" borderId="44" xfId="0" applyFont="true" applyBorder="true" applyAlignment="true" applyProtection="false">
      <alignment horizontal="left" vertical="center" textRotation="0" wrapText="false" indent="0" shrinkToFit="false"/>
      <protection locked="true" hidden="false"/>
    </xf>
    <xf numFmtId="173" fontId="4" fillId="0" borderId="67" xfId="0" applyFont="true" applyBorder="true" applyAlignment="true" applyProtection="false">
      <alignment horizontal="center" vertical="center" textRotation="0" wrapText="false" indent="0" shrinkToFit="false"/>
      <protection locked="true" hidden="false"/>
    </xf>
    <xf numFmtId="164" fontId="4" fillId="0" borderId="68" xfId="0" applyFont="true" applyBorder="true" applyAlignment="true" applyProtection="false">
      <alignment horizontal="left" vertical="center" textRotation="0" wrapText="true" indent="0" shrinkToFit="false"/>
      <protection locked="true" hidden="false"/>
    </xf>
    <xf numFmtId="173" fontId="4" fillId="0" borderId="69" xfId="0" applyFont="true" applyBorder="true" applyAlignment="true" applyProtection="false">
      <alignment horizontal="center" vertical="center" textRotation="0" wrapText="true" indent="0" shrinkToFit="false"/>
      <protection locked="true" hidden="false"/>
    </xf>
    <xf numFmtId="164" fontId="4" fillId="0" borderId="70" xfId="0" applyFont="true" applyBorder="true" applyAlignment="true" applyProtection="false">
      <alignment horizontal="left" vertical="center" textRotation="0" wrapText="true" indent="0" shrinkToFit="false"/>
      <protection locked="true" hidden="false"/>
    </xf>
    <xf numFmtId="164" fontId="4" fillId="0" borderId="10" xfId="0" applyFont="true" applyBorder="true" applyAlignment="true" applyProtection="false">
      <alignment horizontal="left" vertical="center" textRotation="0" wrapText="true" indent="0" shrinkToFit="false"/>
      <protection locked="true" hidden="false"/>
    </xf>
    <xf numFmtId="173" fontId="4" fillId="0" borderId="71" xfId="0" applyFont="true" applyBorder="true" applyAlignment="true" applyProtection="false">
      <alignment horizontal="center" vertical="center" textRotation="0" wrapText="true" indent="0" shrinkToFit="false"/>
      <protection locked="true" hidden="false"/>
    </xf>
    <xf numFmtId="164" fontId="0" fillId="0" borderId="45" xfId="0" applyFont="true" applyBorder="true" applyAlignment="true" applyProtection="false">
      <alignment horizontal="left" vertical="center" textRotation="0" wrapText="true" indent="0" shrinkToFit="false"/>
      <protection locked="true" hidden="false"/>
    </xf>
    <xf numFmtId="172" fontId="4" fillId="0" borderId="0" xfId="0" applyFont="true" applyBorder="true" applyAlignment="true" applyProtection="false">
      <alignment horizontal="center" vertical="top" textRotation="0" wrapText="true" indent="0" shrinkToFit="false"/>
      <protection locked="true" hidden="false"/>
    </xf>
    <xf numFmtId="164" fontId="5" fillId="2" borderId="46" xfId="0" applyFont="true" applyBorder="true" applyAlignment="true" applyProtection="false">
      <alignment horizontal="center" vertical="bottom" textRotation="0" wrapText="false" indent="0" shrinkToFit="false"/>
      <protection locked="true" hidden="false"/>
    </xf>
    <xf numFmtId="164" fontId="5" fillId="2" borderId="54" xfId="0" applyFont="true" applyBorder="true" applyAlignment="true" applyProtection="false">
      <alignment horizontal="center" vertical="bottom" textRotation="0" wrapText="false" indent="0" shrinkToFit="false"/>
      <protection locked="true" hidden="false"/>
    </xf>
    <xf numFmtId="164" fontId="5" fillId="2" borderId="72" xfId="0" applyFont="true" applyBorder="true" applyAlignment="true" applyProtection="false">
      <alignment horizontal="center" vertical="bottom" textRotation="0" wrapText="false" indent="0" shrinkToFit="false"/>
      <protection locked="true" hidden="false"/>
    </xf>
    <xf numFmtId="164" fontId="5" fillId="2" borderId="56" xfId="0" applyFont="true" applyBorder="true" applyAlignment="true" applyProtection="false">
      <alignment horizontal="center" vertical="bottom" textRotation="0" wrapText="false" indent="0" shrinkToFit="false"/>
      <protection locked="true" hidden="false"/>
    </xf>
    <xf numFmtId="164" fontId="4" fillId="0" borderId="44" xfId="0" applyFont="true" applyBorder="true" applyAlignment="true" applyProtection="false">
      <alignment horizontal="general" vertical="center" textRotation="0" wrapText="false" indent="0" shrinkToFit="false"/>
      <protection locked="true" hidden="false"/>
    </xf>
    <xf numFmtId="164" fontId="4" fillId="0" borderId="67" xfId="0" applyFont="true" applyBorder="true" applyAlignment="true" applyProtection="false">
      <alignment horizontal="center" vertical="center" textRotation="0" wrapText="false" indent="0" shrinkToFit="false"/>
      <protection locked="true" hidden="false"/>
    </xf>
    <xf numFmtId="164" fontId="4" fillId="0" borderId="67" xfId="0" applyFont="true" applyBorder="true" applyAlignment="true" applyProtection="false">
      <alignment horizontal="center" vertical="center" textRotation="0" wrapText="true" indent="0" shrinkToFit="false"/>
      <protection locked="true" hidden="false"/>
    </xf>
    <xf numFmtId="164" fontId="4" fillId="0" borderId="45" xfId="0" applyFont="true" applyBorder="true" applyAlignment="true" applyProtection="false">
      <alignment horizontal="general" vertical="center" textRotation="0" wrapText="true" indent="0" shrinkToFit="false"/>
      <protection locked="true" hidden="false"/>
    </xf>
    <xf numFmtId="174" fontId="4" fillId="0" borderId="67" xfId="0" applyFont="true" applyBorder="true" applyAlignment="true" applyProtection="false">
      <alignment horizontal="center" vertical="center" textRotation="0" wrapText="true" indent="0" shrinkToFit="false"/>
      <protection locked="true" hidden="false"/>
    </xf>
    <xf numFmtId="164" fontId="4" fillId="0" borderId="6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74" fontId="0" fillId="0" borderId="61" xfId="0" applyFont="false" applyBorder="true" applyAlignment="true" applyProtection="false">
      <alignment horizontal="center" vertical="center" textRotation="0" wrapText="true" indent="0" shrinkToFit="false"/>
      <protection locked="true" hidden="false"/>
    </xf>
    <xf numFmtId="164" fontId="4" fillId="0" borderId="44" xfId="0" applyFont="true" applyBorder="true" applyAlignment="true" applyProtection="false">
      <alignment horizontal="center" vertical="center" textRotation="0" wrapText="true" indent="0" shrinkToFit="false"/>
      <protection locked="true" hidden="false"/>
    </xf>
    <xf numFmtId="172" fontId="4" fillId="0" borderId="16"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false" indent="0" shrinkToFit="false"/>
      <protection locked="true" hidden="false"/>
    </xf>
    <xf numFmtId="172" fontId="0" fillId="0" borderId="16" xfId="0" applyFont="fals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true" indent="0" shrinkToFit="false"/>
      <protection locked="true" hidden="false"/>
    </xf>
    <xf numFmtId="174" fontId="0" fillId="0" borderId="71" xfId="0" applyFont="false" applyBorder="true" applyAlignment="true" applyProtection="false">
      <alignment horizontal="center" vertical="center" textRotation="0" wrapText="false" indent="0" shrinkToFit="false"/>
      <protection locked="true" hidden="false"/>
    </xf>
    <xf numFmtId="164" fontId="0" fillId="0" borderId="11" xfId="0" applyFont="false" applyBorder="true" applyAlignment="true" applyProtection="false">
      <alignment horizontal="center" vertical="center" textRotation="0" wrapText="fals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 2" xfId="20" builtinId="53" customBuiltin="true"/>
    <cellStyle name="Excel Built-in Explanatory Text" xfId="21" builtinId="53" customBuiltin="true"/>
  </cellStyles>
  <colors>
    <indexedColors>
      <rgbColor rgb="FF000000"/>
      <rgbColor rgb="FFFFFFFF"/>
      <rgbColor rgb="FFFF0000"/>
      <rgbColor rgb="FF00FF00"/>
      <rgbColor rgb="FF0000D4"/>
      <rgbColor rgb="FFFFFF00"/>
      <rgbColor rgb="FFFF00FF"/>
      <rgbColor rgb="FF00FFFF"/>
      <rgbColor rgb="FF800000"/>
      <rgbColor rgb="FF1FB714"/>
      <rgbColor rgb="FF000080"/>
      <rgbColor rgb="FF808000"/>
      <rgbColor rgb="FF800080"/>
      <rgbColor rgb="FF008080"/>
      <rgbColor rgb="FFC0C0C0"/>
      <rgbColor rgb="FF808080"/>
      <rgbColor rgb="FFCD99FF"/>
      <rgbColor rgb="FF7030A0"/>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00B050"/>
      <rgbColor rgb="FF003300"/>
      <rgbColor rgb="FF333300"/>
      <rgbColor rgb="FFDD0806"/>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9</xdr:col>
      <xdr:colOff>151200</xdr:colOff>
      <xdr:row>40</xdr:row>
      <xdr:rowOff>106920</xdr:rowOff>
    </xdr:to>
    <xdr:sp>
      <xdr:nvSpPr>
        <xdr:cNvPr id="0" name="CustomShape 1" hidden="1"/>
        <xdr:cNvSpPr/>
      </xdr:nvSpPr>
      <xdr:spPr>
        <a:xfrm>
          <a:off x="0" y="0"/>
          <a:ext cx="10087560" cy="939060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9</xdr:col>
      <xdr:colOff>151200</xdr:colOff>
      <xdr:row>40</xdr:row>
      <xdr:rowOff>106920</xdr:rowOff>
    </xdr:to>
    <xdr:sp>
      <xdr:nvSpPr>
        <xdr:cNvPr id="1" name="CustomShape 1" hidden="1"/>
        <xdr:cNvSpPr/>
      </xdr:nvSpPr>
      <xdr:spPr>
        <a:xfrm>
          <a:off x="0" y="0"/>
          <a:ext cx="10087560" cy="939060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9</xdr:col>
      <xdr:colOff>151560</xdr:colOff>
      <xdr:row>41</xdr:row>
      <xdr:rowOff>132480</xdr:rowOff>
    </xdr:to>
    <xdr:sp>
      <xdr:nvSpPr>
        <xdr:cNvPr id="2" name="CustomShape 1" hidden="1"/>
        <xdr:cNvSpPr/>
      </xdr:nvSpPr>
      <xdr:spPr>
        <a:xfrm>
          <a:off x="0" y="0"/>
          <a:ext cx="10087920" cy="9581040"/>
        </a:xfrm>
        <a:prstGeom prst="rect">
          <a:avLst/>
        </a:prstGeom>
        <a:solidFill>
          <a:srgbClr val="ffffff"/>
        </a:solidFill>
        <a:ln w="9360">
          <a:miter/>
        </a:ln>
      </xdr:spPr>
      <xdr:style>
        <a:lnRef idx="0"/>
        <a:fillRef idx="0"/>
        <a:effectRef idx="0"/>
        <a:fontRef idx="minor"/>
      </xdr:style>
    </xdr:sp>
    <xdr:clientData/>
  </xdr:twoCellAnchor>
  <xdr:twoCellAnchor editAs="oneCell">
    <xdr:from>
      <xdr:col>0</xdr:col>
      <xdr:colOff>0</xdr:colOff>
      <xdr:row>0</xdr:row>
      <xdr:rowOff>0</xdr:rowOff>
    </xdr:from>
    <xdr:to>
      <xdr:col>9</xdr:col>
      <xdr:colOff>151560</xdr:colOff>
      <xdr:row>41</xdr:row>
      <xdr:rowOff>132480</xdr:rowOff>
    </xdr:to>
    <xdr:sp>
      <xdr:nvSpPr>
        <xdr:cNvPr id="3" name="CustomShape 1" hidden="1"/>
        <xdr:cNvSpPr/>
      </xdr:nvSpPr>
      <xdr:spPr>
        <a:xfrm>
          <a:off x="0" y="0"/>
          <a:ext cx="10087920" cy="9581040"/>
        </a:xfrm>
        <a:prstGeom prst="rect">
          <a:avLst/>
        </a:prstGeom>
        <a:solidFill>
          <a:srgbClr val="ffffff"/>
        </a:solidFill>
        <a:ln w="9360">
          <a:miter/>
        </a:ln>
      </xdr:spPr>
      <xdr:style>
        <a:lnRef idx="0"/>
        <a:fillRef idx="0"/>
        <a:effectRef idx="0"/>
        <a:fontRef idx="minor"/>
      </xdr:style>
    </xdr:sp>
    <xdr:clientData/>
  </xdr:twoCellAnchor>
  <xdr:twoCellAnchor editAs="oneCell">
    <xdr:from>
      <xdr:col>0</xdr:col>
      <xdr:colOff>0</xdr:colOff>
      <xdr:row>0</xdr:row>
      <xdr:rowOff>0</xdr:rowOff>
    </xdr:from>
    <xdr:to>
      <xdr:col>9</xdr:col>
      <xdr:colOff>161640</xdr:colOff>
      <xdr:row>41</xdr:row>
      <xdr:rowOff>132840</xdr:rowOff>
    </xdr:to>
    <xdr:sp>
      <xdr:nvSpPr>
        <xdr:cNvPr id="4" name="CustomShape 1" hidden="1"/>
        <xdr:cNvSpPr/>
      </xdr:nvSpPr>
      <xdr:spPr>
        <a:xfrm>
          <a:off x="0" y="0"/>
          <a:ext cx="10098000" cy="95814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9</xdr:col>
      <xdr:colOff>161640</xdr:colOff>
      <xdr:row>41</xdr:row>
      <xdr:rowOff>132840</xdr:rowOff>
    </xdr:to>
    <xdr:sp>
      <xdr:nvSpPr>
        <xdr:cNvPr id="5" name="CustomShape 1" hidden="1"/>
        <xdr:cNvSpPr/>
      </xdr:nvSpPr>
      <xdr:spPr>
        <a:xfrm>
          <a:off x="0" y="0"/>
          <a:ext cx="10098000" cy="958140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2:X47"/>
  <sheetViews>
    <sheetView showFormulas="false" showGridLines="true" showRowColHeaders="true" showZeros="true" rightToLeft="false" tabSelected="true" showOutlineSymbols="true" defaultGridColor="true" view="normal" topLeftCell="A1" colorId="64" zoomScale="90" zoomScaleNormal="90" zoomScalePageLayoutView="100" workbookViewId="0">
      <pane xSplit="6" ySplit="8" topLeftCell="G30" activePane="bottomRight" state="frozen"/>
      <selection pane="topLeft" activeCell="A1" activeCellId="0" sqref="A1"/>
      <selection pane="topRight" activeCell="G1" activeCellId="0" sqref="G1"/>
      <selection pane="bottomLeft" activeCell="A30" activeCellId="0" sqref="A30"/>
      <selection pane="bottomRight" activeCell="O30" activeCellId="0" sqref="O30"/>
    </sheetView>
  </sheetViews>
  <sheetFormatPr defaultRowHeight="13" zeroHeight="false" outlineLevelRow="0" outlineLevelCol="0"/>
  <cols>
    <col collapsed="false" customWidth="true" hidden="false" outlineLevel="0" max="1" min="1" style="0" width="12.33"/>
    <col collapsed="false" customWidth="true" hidden="false" outlineLevel="0" max="2" min="2" style="0" width="15.83"/>
    <col collapsed="false" customWidth="true" hidden="false" outlineLevel="0" max="3" min="3" style="0" width="27.33"/>
    <col collapsed="false" customWidth="true" hidden="false" outlineLevel="0" max="4" min="4" style="0" width="17.51"/>
    <col collapsed="false" customWidth="true" hidden="false" outlineLevel="0" max="5" min="5" style="0" width="16.33"/>
    <col collapsed="false" customWidth="false" hidden="false" outlineLevel="0" max="6" min="6" style="0" width="11.5"/>
    <col collapsed="false" customWidth="true" hidden="false" outlineLevel="0" max="12" min="7" style="1" width="14.16"/>
    <col collapsed="false" customWidth="true" hidden="false" outlineLevel="0" max="13" min="13" style="1" width="8.51"/>
    <col collapsed="false" customWidth="true" hidden="false" outlineLevel="0" max="14" min="14" style="1" width="9.33"/>
    <col collapsed="false" customWidth="true" hidden="false" outlineLevel="0" max="15" min="15" style="1" width="7.16"/>
    <col collapsed="false" customWidth="true" hidden="false" outlineLevel="0" max="20" min="16" style="0" width="36.84"/>
    <col collapsed="false" customWidth="true" hidden="false" outlineLevel="0" max="21" min="21" style="0" width="25.33"/>
    <col collapsed="false" customWidth="true" hidden="false" outlineLevel="0" max="22" min="22" style="0" width="19.33"/>
    <col collapsed="false" customWidth="true" hidden="false" outlineLevel="0" max="23" min="23" style="0" width="19.99"/>
    <col collapsed="false" customWidth="true" hidden="false" outlineLevel="0" max="24" min="24" style="0" width="19.5"/>
    <col collapsed="false" customWidth="true" hidden="false" outlineLevel="0" max="1025" min="25" style="0" width="8.83"/>
  </cols>
  <sheetData>
    <row r="2" customFormat="false" ht="14" hidden="false" customHeight="false" outlineLevel="0" collapsed="false">
      <c r="A2" s="2" t="s">
        <v>0</v>
      </c>
      <c r="B2" s="3"/>
      <c r="C2" s="4"/>
      <c r="D2" s="5"/>
      <c r="E2" s="6" t="s">
        <v>1</v>
      </c>
      <c r="G2" s="7"/>
      <c r="H2" s="7"/>
      <c r="I2" s="7"/>
      <c r="J2" s="7"/>
      <c r="K2" s="7"/>
      <c r="L2" s="7"/>
      <c r="M2" s="7"/>
      <c r="N2" s="7"/>
      <c r="O2" s="7"/>
    </row>
    <row r="3" customFormat="false" ht="14" hidden="false" customHeight="false" outlineLevel="0" collapsed="false">
      <c r="A3" s="8" t="s">
        <v>2</v>
      </c>
      <c r="B3" s="9" t="s">
        <v>3</v>
      </c>
      <c r="C3" s="4"/>
      <c r="D3" s="10"/>
      <c r="E3" s="11" t="s">
        <v>4</v>
      </c>
      <c r="G3" s="7"/>
      <c r="H3" s="7"/>
      <c r="I3" s="7"/>
      <c r="J3" s="7"/>
      <c r="K3" s="7"/>
      <c r="L3" s="7"/>
      <c r="M3" s="7"/>
      <c r="N3" s="7"/>
      <c r="O3" s="7"/>
    </row>
    <row r="4" customFormat="false" ht="14" hidden="false" customHeight="false" outlineLevel="0" collapsed="false">
      <c r="A4" s="8" t="s">
        <v>5</v>
      </c>
      <c r="B4" s="12" t="s">
        <v>6</v>
      </c>
      <c r="C4" s="4"/>
      <c r="D4" s="13"/>
      <c r="E4" s="11" t="s">
        <v>7</v>
      </c>
      <c r="F4" s="14"/>
      <c r="G4" s="7"/>
      <c r="H4" s="7"/>
      <c r="I4" s="7"/>
      <c r="J4" s="7"/>
      <c r="K4" s="7"/>
      <c r="L4" s="7"/>
      <c r="M4" s="7"/>
      <c r="N4" s="7"/>
      <c r="O4" s="7"/>
    </row>
    <row r="5" customFormat="false" ht="28" hidden="false" customHeight="false" outlineLevel="0" collapsed="false">
      <c r="A5" s="15" t="s">
        <v>8</v>
      </c>
      <c r="B5" s="16" t="s">
        <v>9</v>
      </c>
      <c r="C5" s="4"/>
      <c r="D5" s="17"/>
      <c r="E5" s="11" t="s">
        <v>10</v>
      </c>
      <c r="G5" s="7"/>
      <c r="H5" s="7"/>
      <c r="I5" s="7"/>
      <c r="J5" s="7"/>
      <c r="K5" s="7"/>
      <c r="L5" s="7"/>
      <c r="M5" s="7"/>
      <c r="N5" s="7"/>
      <c r="O5" s="7"/>
    </row>
    <row r="6" customFormat="false" ht="14" hidden="false" customHeight="false" outlineLevel="0" collapsed="false">
      <c r="A6" s="18"/>
      <c r="D6" s="19"/>
      <c r="E6" s="20" t="s">
        <v>11</v>
      </c>
      <c r="G6" s="7"/>
      <c r="H6" s="7"/>
      <c r="I6" s="7"/>
      <c r="J6" s="7"/>
      <c r="K6" s="7"/>
      <c r="L6" s="7"/>
      <c r="M6" s="7"/>
      <c r="N6" s="7"/>
      <c r="O6" s="7"/>
    </row>
    <row r="8" customFormat="false" ht="21" hidden="false" customHeight="true" outlineLevel="0" collapsed="false">
      <c r="A8" s="21" t="s">
        <v>12</v>
      </c>
      <c r="B8" s="21" t="s">
        <v>13</v>
      </c>
      <c r="C8" s="21" t="s">
        <v>14</v>
      </c>
      <c r="D8" s="22" t="s">
        <v>15</v>
      </c>
      <c r="E8" s="21" t="s">
        <v>16</v>
      </c>
      <c r="F8" s="21" t="s">
        <v>17</v>
      </c>
      <c r="G8" s="23" t="s">
        <v>18</v>
      </c>
      <c r="H8" s="23" t="s">
        <v>19</v>
      </c>
      <c r="I8" s="23" t="s">
        <v>20</v>
      </c>
      <c r="J8" s="23" t="s">
        <v>21</v>
      </c>
      <c r="K8" s="23" t="s">
        <v>22</v>
      </c>
      <c r="L8" s="23" t="s">
        <v>23</v>
      </c>
      <c r="M8" s="23" t="s">
        <v>24</v>
      </c>
      <c r="N8" s="23" t="s">
        <v>25</v>
      </c>
      <c r="O8" s="23" t="s">
        <v>26</v>
      </c>
      <c r="P8" s="24" t="s">
        <v>27</v>
      </c>
      <c r="Q8" s="24" t="s">
        <v>28</v>
      </c>
      <c r="R8" s="24" t="s">
        <v>29</v>
      </c>
      <c r="S8" s="24" t="s">
        <v>30</v>
      </c>
      <c r="T8" s="24" t="s">
        <v>31</v>
      </c>
      <c r="U8" s="24" t="s">
        <v>32</v>
      </c>
      <c r="V8" s="24" t="s">
        <v>33</v>
      </c>
      <c r="W8" s="24" t="s">
        <v>34</v>
      </c>
      <c r="X8" s="24" t="s">
        <v>35</v>
      </c>
    </row>
    <row r="9" customFormat="false" ht="42" hidden="false" customHeight="false" outlineLevel="0" collapsed="false">
      <c r="A9" s="25" t="s">
        <v>36</v>
      </c>
      <c r="B9" s="25" t="s">
        <v>37</v>
      </c>
      <c r="C9" s="26" t="s">
        <v>38</v>
      </c>
      <c r="D9" s="27"/>
      <c r="E9" s="28" t="s">
        <v>39</v>
      </c>
      <c r="F9" s="29" t="n">
        <v>1</v>
      </c>
      <c r="G9" s="30" t="n">
        <f aca="false">(1.43+1.43+1.42)/3</f>
        <v>1.42666666666667</v>
      </c>
      <c r="H9" s="30"/>
      <c r="I9" s="30" t="n">
        <f aca="false">(1.04+1.04+1.13)/3</f>
        <v>1.07</v>
      </c>
      <c r="J9" s="30" t="n">
        <f aca="false">(1.13+1.13+0.96)/3</f>
        <v>1.07333333333333</v>
      </c>
      <c r="K9" s="30" t="n">
        <f aca="false">(0.96+0.96+0.96)/3</f>
        <v>0.96</v>
      </c>
      <c r="L9" s="30" t="n">
        <f aca="false">(0.83+0.83+1.08)/3</f>
        <v>0.913333333333333</v>
      </c>
      <c r="M9" s="30" t="n">
        <f aca="false">(1.07+1.07+1.13)/3</f>
        <v>1.09</v>
      </c>
      <c r="N9" s="30" t="s">
        <v>40</v>
      </c>
      <c r="O9" s="30" t="s">
        <v>41</v>
      </c>
      <c r="P9" s="31"/>
      <c r="Q9" s="31"/>
      <c r="R9" s="31"/>
      <c r="S9" s="31"/>
      <c r="T9" s="31"/>
      <c r="U9" s="31"/>
      <c r="V9" s="31"/>
      <c r="W9" s="31"/>
      <c r="X9" s="32" t="s">
        <v>42</v>
      </c>
    </row>
    <row r="10" customFormat="false" ht="42" hidden="false" customHeight="false" outlineLevel="0" collapsed="false">
      <c r="A10" s="25" t="s">
        <v>43</v>
      </c>
      <c r="B10" s="25" t="s">
        <v>44</v>
      </c>
      <c r="C10" s="33" t="s">
        <v>45</v>
      </c>
      <c r="D10" s="27"/>
      <c r="E10" s="28" t="s">
        <v>39</v>
      </c>
      <c r="F10" s="29" t="n">
        <v>1</v>
      </c>
      <c r="G10" s="30" t="n">
        <f aca="false">(1.45+1.42+1.46)/3</f>
        <v>1.44333333333333</v>
      </c>
      <c r="H10" s="30" t="n">
        <f aca="false">(1.06+1.05+1.09)/3</f>
        <v>1.06666666666667</v>
      </c>
      <c r="I10" s="30" t="n">
        <f aca="false">(1.02+1.04+1.1)/3</f>
        <v>1.05333333333333</v>
      </c>
      <c r="J10" s="30" t="n">
        <f aca="false">(1.09+0.96+0.98)/3</f>
        <v>1.01</v>
      </c>
      <c r="K10" s="30" t="n">
        <f aca="false">(0.97+0.99+0.98)/3</f>
        <v>0.98</v>
      </c>
      <c r="L10" s="30" t="n">
        <f aca="false">(0.85+0.87+0.87)/3</f>
        <v>0.863333333333333</v>
      </c>
      <c r="M10" s="30" t="n">
        <f aca="false">(1.09+0.817+0.905)/3</f>
        <v>0.937333333333334</v>
      </c>
      <c r="N10" s="30" t="s">
        <v>46</v>
      </c>
      <c r="O10" s="30" t="s">
        <v>41</v>
      </c>
      <c r="P10" s="31"/>
      <c r="Q10" s="31"/>
      <c r="R10" s="31"/>
      <c r="S10" s="31"/>
      <c r="T10" s="31"/>
      <c r="U10" s="31"/>
      <c r="V10" s="31"/>
      <c r="W10" s="31"/>
      <c r="X10" s="32" t="s">
        <v>42</v>
      </c>
    </row>
    <row r="11" customFormat="false" ht="28" hidden="false" customHeight="false" outlineLevel="0" collapsed="false">
      <c r="A11" s="25" t="s">
        <v>47</v>
      </c>
      <c r="B11" s="25"/>
      <c r="C11" s="33" t="s">
        <v>48</v>
      </c>
      <c r="D11" s="27"/>
      <c r="E11" s="28" t="s">
        <v>49</v>
      </c>
      <c r="F11" s="29" t="n">
        <v>0.99</v>
      </c>
      <c r="G11" s="34"/>
      <c r="H11" s="34"/>
      <c r="I11" s="34"/>
      <c r="J11" s="34"/>
      <c r="K11" s="34"/>
      <c r="L11" s="34"/>
      <c r="M11" s="34"/>
      <c r="N11" s="34"/>
      <c r="O11" s="34"/>
      <c r="P11" s="32"/>
      <c r="Q11" s="32"/>
      <c r="R11" s="32"/>
      <c r="S11" s="32"/>
      <c r="T11" s="32"/>
      <c r="U11" s="32"/>
      <c r="V11" s="32"/>
      <c r="W11" s="32"/>
      <c r="X11" s="32"/>
    </row>
    <row r="12" customFormat="false" ht="28" hidden="false" customHeight="false" outlineLevel="0" collapsed="false">
      <c r="A12" s="25" t="s">
        <v>50</v>
      </c>
      <c r="B12" s="25"/>
      <c r="C12" s="33" t="s">
        <v>51</v>
      </c>
      <c r="D12" s="27"/>
      <c r="E12" s="28" t="s">
        <v>52</v>
      </c>
      <c r="F12" s="35" t="n">
        <v>2</v>
      </c>
      <c r="G12" s="36" t="n">
        <v>0</v>
      </c>
      <c r="H12" s="36" t="n">
        <v>0</v>
      </c>
      <c r="I12" s="36" t="n">
        <v>0</v>
      </c>
      <c r="J12" s="36" t="n">
        <v>0</v>
      </c>
      <c r="K12" s="36" t="n">
        <v>0</v>
      </c>
      <c r="L12" s="36" t="n">
        <v>0</v>
      </c>
      <c r="M12" s="36" t="n">
        <v>0</v>
      </c>
      <c r="N12" s="36" t="n">
        <v>0</v>
      </c>
      <c r="O12" s="36" t="n">
        <v>1</v>
      </c>
      <c r="P12" s="32"/>
      <c r="Q12" s="32"/>
      <c r="R12" s="32"/>
      <c r="S12" s="32"/>
      <c r="T12" s="32"/>
      <c r="U12" s="32"/>
      <c r="V12" s="32"/>
      <c r="W12" s="32"/>
      <c r="X12" s="32" t="s">
        <v>53</v>
      </c>
    </row>
    <row r="13" customFormat="false" ht="42" hidden="false" customHeight="false" outlineLevel="0" collapsed="false">
      <c r="A13" s="25" t="s">
        <v>54</v>
      </c>
      <c r="B13" s="25"/>
      <c r="C13" s="33" t="s">
        <v>55</v>
      </c>
      <c r="D13" s="27"/>
      <c r="E13" s="37"/>
      <c r="F13" s="35" t="n">
        <v>0</v>
      </c>
      <c r="G13" s="38" t="n">
        <v>1</v>
      </c>
      <c r="H13" s="36" t="n">
        <v>0</v>
      </c>
      <c r="I13" s="36" t="n">
        <v>0</v>
      </c>
      <c r="J13" s="36" t="n">
        <v>0</v>
      </c>
      <c r="K13" s="36" t="n">
        <v>0</v>
      </c>
      <c r="L13" s="36" t="n">
        <v>0</v>
      </c>
      <c r="M13" s="36" t="n">
        <v>0</v>
      </c>
      <c r="N13" s="36" t="n">
        <v>0</v>
      </c>
      <c r="O13" s="36" t="n">
        <v>0</v>
      </c>
      <c r="P13" s="39" t="s">
        <v>56</v>
      </c>
      <c r="Q13" s="39"/>
      <c r="R13" s="39"/>
      <c r="S13" s="39"/>
      <c r="T13" s="39"/>
      <c r="U13" s="39"/>
      <c r="V13" s="39"/>
      <c r="W13" s="39"/>
      <c r="X13" s="39"/>
    </row>
    <row r="14" customFormat="false" ht="42" hidden="false" customHeight="false" outlineLevel="0" collapsed="false">
      <c r="A14" s="25" t="s">
        <v>57</v>
      </c>
      <c r="B14" s="40"/>
      <c r="C14" s="33" t="s">
        <v>58</v>
      </c>
      <c r="D14" s="41"/>
      <c r="E14" s="42" t="s">
        <v>59</v>
      </c>
      <c r="F14" s="35" t="n">
        <v>0</v>
      </c>
      <c r="G14" s="36" t="n">
        <v>0</v>
      </c>
      <c r="H14" s="36" t="n">
        <v>0</v>
      </c>
      <c r="I14" s="36" t="n">
        <v>0</v>
      </c>
      <c r="J14" s="36" t="n">
        <v>0</v>
      </c>
      <c r="K14" s="36" t="n">
        <v>0</v>
      </c>
      <c r="L14" s="36" t="n">
        <v>0</v>
      </c>
      <c r="M14" s="36" t="n">
        <v>0</v>
      </c>
      <c r="N14" s="36" t="n">
        <v>0</v>
      </c>
      <c r="O14" s="36" t="n">
        <v>0</v>
      </c>
      <c r="P14" s="39"/>
      <c r="Q14" s="39"/>
      <c r="R14" s="39"/>
      <c r="S14" s="39"/>
      <c r="T14" s="39"/>
      <c r="U14" s="39"/>
      <c r="V14" s="39"/>
      <c r="W14" s="39"/>
      <c r="X14" s="39"/>
    </row>
    <row r="15" customFormat="false" ht="48.75" hidden="false" customHeight="true" outlineLevel="0" collapsed="false">
      <c r="A15" s="25" t="s">
        <v>60</v>
      </c>
      <c r="B15" s="43"/>
      <c r="C15" s="33" t="s">
        <v>61</v>
      </c>
      <c r="D15" s="44"/>
      <c r="E15" s="28" t="s">
        <v>59</v>
      </c>
      <c r="F15" s="29" t="n">
        <v>0.93</v>
      </c>
      <c r="G15" s="45" t="n">
        <v>0.9</v>
      </c>
      <c r="H15" s="46" t="n">
        <v>0.86</v>
      </c>
      <c r="I15" s="46" t="n">
        <v>0.83</v>
      </c>
      <c r="J15" s="46" t="n">
        <v>0.87</v>
      </c>
      <c r="K15" s="46" t="n">
        <v>0.8</v>
      </c>
      <c r="L15" s="30" t="n">
        <v>0.95</v>
      </c>
      <c r="M15" s="30" t="n">
        <f aca="false">15.76 / 16</f>
        <v>0.985</v>
      </c>
      <c r="N15" s="30" t="n">
        <v>0.99</v>
      </c>
      <c r="O15" s="30" t="n">
        <f aca="false">14.7 / 16</f>
        <v>0.91875</v>
      </c>
      <c r="P15" s="32"/>
      <c r="Q15" s="32"/>
      <c r="R15" s="32"/>
      <c r="S15" s="32"/>
      <c r="T15" s="32"/>
      <c r="U15" s="32"/>
      <c r="V15" s="32"/>
      <c r="W15" s="32"/>
      <c r="X15" s="32"/>
    </row>
    <row r="16" customFormat="false" ht="13" hidden="false" customHeight="false" outlineLevel="0" collapsed="false">
      <c r="A16" s="47"/>
      <c r="B16" s="48"/>
      <c r="C16" s="49"/>
      <c r="D16" s="50"/>
      <c r="E16" s="28"/>
      <c r="F16" s="29"/>
      <c r="G16" s="51"/>
      <c r="H16" s="51"/>
      <c r="I16" s="51"/>
      <c r="J16" s="51"/>
      <c r="K16" s="51"/>
      <c r="L16" s="52"/>
      <c r="M16" s="52"/>
      <c r="N16" s="52"/>
      <c r="O16" s="52"/>
      <c r="P16" s="39"/>
      <c r="Q16" s="39"/>
      <c r="R16" s="39"/>
      <c r="S16" s="39"/>
      <c r="T16" s="39"/>
      <c r="U16" s="39"/>
      <c r="V16" s="39"/>
      <c r="W16" s="39"/>
      <c r="X16" s="39"/>
    </row>
    <row r="17" customFormat="false" ht="42" hidden="false" customHeight="false" outlineLevel="0" collapsed="false">
      <c r="A17" s="25" t="s">
        <v>62</v>
      </c>
      <c r="B17" s="43" t="s">
        <v>63</v>
      </c>
      <c r="C17" s="53" t="s">
        <v>64</v>
      </c>
      <c r="D17" s="54"/>
      <c r="E17" s="55" t="s">
        <v>9</v>
      </c>
      <c r="F17" s="29" t="n">
        <v>1</v>
      </c>
      <c r="G17" s="56" t="n">
        <f aca="false">(2.02+2.02+2.04)/3</f>
        <v>2.02666666666667</v>
      </c>
      <c r="H17" s="56"/>
      <c r="I17" s="56" t="n">
        <f aca="false">(1.4+1.4+1.4)/3</f>
        <v>1.4</v>
      </c>
      <c r="J17" s="56" t="n">
        <f aca="false">(1.4+1.58+1.58)/3</f>
        <v>1.52</v>
      </c>
      <c r="K17" s="56" t="n">
        <f aca="false">(1.58+1.58+1.58)/3</f>
        <v>1.58</v>
      </c>
      <c r="L17" s="57" t="n">
        <f aca="false">(1.55+1.55+1.55)/3</f>
        <v>1.55</v>
      </c>
      <c r="M17" s="57" t="n">
        <v>1.5</v>
      </c>
      <c r="N17" s="57" t="n">
        <v>1.55</v>
      </c>
      <c r="O17" s="57" t="n">
        <v>1.55</v>
      </c>
      <c r="P17" s="39"/>
      <c r="Q17" s="39"/>
      <c r="R17" s="39"/>
      <c r="S17" s="39"/>
      <c r="T17" s="39"/>
      <c r="U17" s="39"/>
      <c r="V17" s="39"/>
      <c r="W17" s="39"/>
      <c r="X17" s="32" t="s">
        <v>42</v>
      </c>
    </row>
    <row r="18" customFormat="false" ht="84" hidden="false" customHeight="false" outlineLevel="0" collapsed="false">
      <c r="A18" s="25" t="s">
        <v>65</v>
      </c>
      <c r="B18" s="43" t="s">
        <v>66</v>
      </c>
      <c r="C18" s="58" t="s">
        <v>67</v>
      </c>
      <c r="D18" s="59"/>
      <c r="E18" s="55" t="s">
        <v>9</v>
      </c>
      <c r="F18" s="29" t="n">
        <v>1</v>
      </c>
      <c r="G18" s="60" t="n">
        <f aca="false">(1+1+1)/3</f>
        <v>1</v>
      </c>
      <c r="H18" s="60" t="n">
        <f aca="false">(1+1+1)/3</f>
        <v>1</v>
      </c>
      <c r="I18" s="60" t="n">
        <f aca="false">(1+1+1)/3</f>
        <v>1</v>
      </c>
      <c r="J18" s="60" t="n">
        <f aca="false">(1+1+1)/3</f>
        <v>1</v>
      </c>
      <c r="K18" s="60" t="n">
        <f aca="false">(1+1+1)/3</f>
        <v>1</v>
      </c>
      <c r="L18" s="45" t="n">
        <f aca="false">(0.95+0.95+0.95)/3</f>
        <v>0.95</v>
      </c>
      <c r="M18" s="30" t="n">
        <v>1</v>
      </c>
      <c r="N18" s="45" t="n">
        <v>0.95</v>
      </c>
      <c r="O18" s="30" t="n">
        <v>1</v>
      </c>
      <c r="P18" s="61"/>
      <c r="Q18" s="61"/>
      <c r="R18" s="61"/>
      <c r="S18" s="61"/>
      <c r="T18" s="61" t="s">
        <v>68</v>
      </c>
      <c r="U18" s="61"/>
      <c r="V18" s="61"/>
      <c r="W18" s="61"/>
      <c r="X18" s="62" t="s">
        <v>42</v>
      </c>
    </row>
    <row r="19" customFormat="false" ht="42" hidden="false" customHeight="false" outlineLevel="0" collapsed="false">
      <c r="A19" s="25" t="s">
        <v>69</v>
      </c>
      <c r="B19" s="43" t="s">
        <v>70</v>
      </c>
      <c r="C19" s="58" t="s">
        <v>71</v>
      </c>
      <c r="D19" s="59"/>
      <c r="E19" s="55" t="s">
        <v>9</v>
      </c>
      <c r="F19" s="29" t="n">
        <v>1</v>
      </c>
      <c r="G19" s="60" t="n">
        <f aca="false">(1+1.12+1)/3</f>
        <v>1.04</v>
      </c>
      <c r="H19" s="60" t="n">
        <f aca="false">(1+1+1)/3</f>
        <v>1</v>
      </c>
      <c r="I19" s="60" t="n">
        <f aca="false">(1+1+1)/3</f>
        <v>1</v>
      </c>
      <c r="J19" s="60" t="n">
        <f aca="false">(0.98+0.98+0.98)/3</f>
        <v>0.98</v>
      </c>
      <c r="K19" s="60" t="n">
        <f aca="false">(1+1+1)/3</f>
        <v>1</v>
      </c>
      <c r="L19" s="46" t="n">
        <f aca="false">(0.84+0.84+0.84)/3</f>
        <v>0.84</v>
      </c>
      <c r="M19" s="45" t="n">
        <v>0.89</v>
      </c>
      <c r="N19" s="30" t="n">
        <v>1</v>
      </c>
      <c r="O19" s="30" t="s">
        <v>72</v>
      </c>
      <c r="P19" s="32"/>
      <c r="Q19" s="32"/>
      <c r="R19" s="32"/>
      <c r="S19" s="32"/>
      <c r="T19" s="32" t="s">
        <v>73</v>
      </c>
      <c r="U19" s="32"/>
      <c r="V19" s="32"/>
      <c r="W19" s="32"/>
      <c r="X19" s="62" t="s">
        <v>42</v>
      </c>
    </row>
    <row r="20" customFormat="false" ht="42" hidden="false" customHeight="false" outlineLevel="0" collapsed="false">
      <c r="A20" s="25" t="s">
        <v>74</v>
      </c>
      <c r="B20" s="43" t="s">
        <v>75</v>
      </c>
      <c r="C20" s="58" t="s">
        <v>76</v>
      </c>
      <c r="D20" s="59"/>
      <c r="E20" s="55" t="s">
        <v>9</v>
      </c>
      <c r="F20" s="29" t="n">
        <v>1</v>
      </c>
      <c r="G20" s="30" t="n">
        <f aca="false">(1.09+1.09+1.23)/3</f>
        <v>1.13666666666667</v>
      </c>
      <c r="H20" s="30"/>
      <c r="I20" s="30" t="n">
        <f aca="false">(1.15+1.15+1.15)/3</f>
        <v>1.15</v>
      </c>
      <c r="J20" s="30" t="n">
        <f aca="false">(1.16+1.14+1.15)/3</f>
        <v>1.15</v>
      </c>
      <c r="K20" s="60" t="n">
        <f aca="false">(1.14+1.13+1.1)/3</f>
        <v>1.12333333333333</v>
      </c>
      <c r="L20" s="45" t="n">
        <f aca="false">(0.97+0.97+0.95)/3</f>
        <v>0.963333333333333</v>
      </c>
      <c r="M20" s="30" t="n">
        <v>1.16</v>
      </c>
      <c r="N20" s="45" t="n">
        <v>0.98</v>
      </c>
      <c r="O20" s="30" t="s">
        <v>41</v>
      </c>
      <c r="P20" s="32"/>
      <c r="Q20" s="32"/>
      <c r="R20" s="32"/>
      <c r="S20" s="32"/>
      <c r="T20" s="32" t="s">
        <v>77</v>
      </c>
      <c r="U20" s="32"/>
      <c r="V20" s="32"/>
      <c r="W20" s="32"/>
      <c r="X20" s="62" t="s">
        <v>42</v>
      </c>
    </row>
    <row r="21" customFormat="false" ht="42" hidden="false" customHeight="false" outlineLevel="0" collapsed="false">
      <c r="A21" s="25" t="s">
        <v>78</v>
      </c>
      <c r="B21" s="43" t="s">
        <v>79</v>
      </c>
      <c r="C21" s="58" t="s">
        <v>80</v>
      </c>
      <c r="D21" s="59"/>
      <c r="E21" s="28" t="s">
        <v>81</v>
      </c>
      <c r="F21" s="63" t="n">
        <v>2</v>
      </c>
      <c r="G21" s="64" t="n">
        <f aca="false">(0+0+0)/3</f>
        <v>0</v>
      </c>
      <c r="H21" s="64" t="n">
        <f aca="false">(0+0+0)/3</f>
        <v>0</v>
      </c>
      <c r="I21" s="64" t="n">
        <f aca="false">(0+0+1)/3</f>
        <v>0.333333333333333</v>
      </c>
      <c r="J21" s="64" t="n">
        <f aca="false">(1+0+0)/3</f>
        <v>0.333333333333333</v>
      </c>
      <c r="K21" s="64" t="n">
        <f aca="false">(1+0+0)/3</f>
        <v>0.333333333333333</v>
      </c>
      <c r="L21" s="65" t="n">
        <f aca="false">(1+0+0)/3</f>
        <v>0.333333333333333</v>
      </c>
      <c r="M21" s="65" t="n">
        <v>0.33</v>
      </c>
      <c r="N21" s="65" t="n">
        <v>0</v>
      </c>
      <c r="O21" s="65" t="n">
        <v>0</v>
      </c>
      <c r="P21" s="66"/>
      <c r="Q21" s="66"/>
      <c r="R21" s="66"/>
      <c r="S21" s="66"/>
      <c r="T21" s="66"/>
      <c r="U21" s="66"/>
      <c r="V21" s="66"/>
      <c r="W21" s="66"/>
      <c r="X21" s="66"/>
    </row>
    <row r="22" customFormat="false" ht="78" hidden="false" customHeight="true" outlineLevel="0" collapsed="false">
      <c r="A22" s="25" t="s">
        <v>82</v>
      </c>
      <c r="B22" s="43" t="s">
        <v>83</v>
      </c>
      <c r="C22" s="58" t="s">
        <v>84</v>
      </c>
      <c r="D22" s="59"/>
      <c r="E22" s="28" t="s">
        <v>81</v>
      </c>
      <c r="F22" s="29" t="n">
        <v>0.01</v>
      </c>
      <c r="G22" s="67" t="n">
        <f aca="false">(0.0032+0.0032+0.0023)/3</f>
        <v>0.0029</v>
      </c>
      <c r="H22" s="67" t="n">
        <f aca="false">(0.0035+0.0032+0.0023)/3</f>
        <v>0.003</v>
      </c>
      <c r="I22" s="67" t="n">
        <f aca="false">(0.0003+0.0015+0.0028)/3</f>
        <v>0.00153333333333333</v>
      </c>
      <c r="J22" s="67" t="n">
        <f aca="false">(0.0037+0.0026+0.0014)/3</f>
        <v>0.00256666666666667</v>
      </c>
      <c r="K22" s="67" t="n">
        <f aca="false">(0.0104+0.0007+0.0002)/3</f>
        <v>0.00376666666666667</v>
      </c>
      <c r="L22" s="68" t="n">
        <f aca="false">(0.0012+0.0014+0.0052)/3</f>
        <v>0.0026</v>
      </c>
      <c r="M22" s="68" t="n">
        <v>0.0041</v>
      </c>
      <c r="N22" s="68" t="s">
        <v>85</v>
      </c>
      <c r="O22" s="68" t="s">
        <v>85</v>
      </c>
      <c r="P22" s="39"/>
      <c r="Q22" s="39"/>
      <c r="R22" s="39"/>
      <c r="S22" s="39"/>
      <c r="T22" s="39"/>
      <c r="U22" s="39"/>
      <c r="V22" s="39"/>
      <c r="W22" s="39" t="s">
        <v>86</v>
      </c>
      <c r="X22" s="39"/>
    </row>
    <row r="23" customFormat="false" ht="28" hidden="false" customHeight="false" outlineLevel="0" collapsed="false">
      <c r="A23" s="25" t="s">
        <v>37</v>
      </c>
      <c r="B23" s="43" t="s">
        <v>87</v>
      </c>
      <c r="C23" s="58" t="s">
        <v>88</v>
      </c>
      <c r="D23" s="59"/>
      <c r="E23" s="28" t="s">
        <v>89</v>
      </c>
      <c r="F23" s="35" t="n">
        <v>1</v>
      </c>
      <c r="G23" s="64" t="n">
        <f aca="false">(0+0+0)/3</f>
        <v>0</v>
      </c>
      <c r="H23" s="64" t="n">
        <f aca="false">(0+0+0)/3</f>
        <v>0</v>
      </c>
      <c r="I23" s="64" t="n">
        <f aca="false">(0+1+0)/3</f>
        <v>0.333333333333333</v>
      </c>
      <c r="J23" s="64" t="n">
        <f aca="false">(0+0+0)/3</f>
        <v>0</v>
      </c>
      <c r="K23" s="65" t="n">
        <f aca="false">(0+0+0)/3</f>
        <v>0</v>
      </c>
      <c r="L23" s="65" t="n">
        <f aca="false">(0+0+0)/3</f>
        <v>0</v>
      </c>
      <c r="M23" s="65" t="n">
        <v>0.33</v>
      </c>
      <c r="N23" s="65" t="n">
        <v>0</v>
      </c>
      <c r="O23" s="65" t="n">
        <v>1</v>
      </c>
      <c r="P23" s="69"/>
      <c r="Q23" s="69"/>
      <c r="R23" s="69"/>
      <c r="S23" s="69"/>
      <c r="T23" s="69"/>
      <c r="U23" s="69"/>
      <c r="V23" s="69" t="s">
        <v>90</v>
      </c>
      <c r="W23" s="69"/>
      <c r="X23" s="69"/>
    </row>
    <row r="24" customFormat="false" ht="126" hidden="false" customHeight="false" outlineLevel="0" collapsed="false">
      <c r="A24" s="25" t="s">
        <v>63</v>
      </c>
      <c r="B24" s="70" t="s">
        <v>91</v>
      </c>
      <c r="C24" s="58" t="s">
        <v>92</v>
      </c>
      <c r="D24" s="59" t="s">
        <v>93</v>
      </c>
      <c r="E24" s="28" t="s">
        <v>94</v>
      </c>
      <c r="F24" s="29" t="n">
        <v>0.99</v>
      </c>
      <c r="G24" s="71" t="n">
        <f aca="false">(0.98+0.84+0.95)/3</f>
        <v>0.923333333333333</v>
      </c>
      <c r="H24" s="71" t="n">
        <f aca="false">(0.89+0.9+0.98)/3</f>
        <v>0.923333333333333</v>
      </c>
      <c r="I24" s="72" t="n">
        <f aca="false">(0.95+0.99+1)/3</f>
        <v>0.98</v>
      </c>
      <c r="J24" s="73" t="n">
        <f aca="false">(1+0.99+0.99)/3</f>
        <v>0.993333333333333</v>
      </c>
      <c r="K24" s="72" t="n">
        <f aca="false">(0.92+1+0.99)/3</f>
        <v>0.97</v>
      </c>
      <c r="L24" s="73" t="n">
        <f aca="false">(0.99+0.99+1)/3</f>
        <v>0.993333333333333</v>
      </c>
      <c r="M24" s="73" t="n">
        <v>1</v>
      </c>
      <c r="N24" s="73" t="n">
        <v>0.993</v>
      </c>
      <c r="O24" s="72" t="n">
        <v>0.983</v>
      </c>
      <c r="P24" s="74" t="s">
        <v>95</v>
      </c>
      <c r="Q24" s="75" t="s">
        <v>96</v>
      </c>
      <c r="R24" s="75" t="s">
        <v>97</v>
      </c>
      <c r="S24" s="75"/>
      <c r="T24" s="75" t="s">
        <v>98</v>
      </c>
      <c r="U24" s="75"/>
      <c r="V24" s="75"/>
      <c r="W24" s="75"/>
      <c r="X24" s="75"/>
    </row>
    <row r="25" customFormat="false" ht="42" hidden="false" customHeight="false" outlineLevel="0" collapsed="false">
      <c r="A25" s="25" t="s">
        <v>66</v>
      </c>
      <c r="B25" s="70" t="s">
        <v>99</v>
      </c>
      <c r="C25" s="58" t="s">
        <v>100</v>
      </c>
      <c r="D25" s="59" t="s">
        <v>93</v>
      </c>
      <c r="E25" s="28" t="s">
        <v>94</v>
      </c>
      <c r="F25" s="29" t="n">
        <v>0.99</v>
      </c>
      <c r="G25" s="76" t="n">
        <f aca="false">(0.87+1+1)/3</f>
        <v>0.956666666666667</v>
      </c>
      <c r="H25" s="60" t="n">
        <f aca="false">(1+1+1)/3</f>
        <v>1</v>
      </c>
      <c r="I25" s="60" t="n">
        <f aca="false">(1+1+1)/3</f>
        <v>1</v>
      </c>
      <c r="J25" s="60" t="n">
        <f aca="false">(1+1+1)/3</f>
        <v>1</v>
      </c>
      <c r="K25" s="60" t="n">
        <f aca="false">(1+0.99+1)/3</f>
        <v>0.996666666666667</v>
      </c>
      <c r="L25" s="60" t="n">
        <f aca="false">(1+0.99+1)/3</f>
        <v>0.996666666666667</v>
      </c>
      <c r="M25" s="60" t="n">
        <v>1</v>
      </c>
      <c r="N25" s="60" t="s">
        <v>72</v>
      </c>
      <c r="O25" s="60" t="n">
        <v>0.99</v>
      </c>
      <c r="P25" s="74" t="s">
        <v>101</v>
      </c>
      <c r="Q25" s="74"/>
      <c r="R25" s="74"/>
      <c r="S25" s="74"/>
      <c r="T25" s="74"/>
      <c r="U25" s="74"/>
      <c r="V25" s="74"/>
      <c r="W25" s="74"/>
      <c r="X25" s="74"/>
    </row>
    <row r="26" customFormat="false" ht="158.25" hidden="false" customHeight="true" outlineLevel="0" collapsed="false">
      <c r="A26" s="25" t="s">
        <v>102</v>
      </c>
      <c r="B26" s="70" t="s">
        <v>103</v>
      </c>
      <c r="C26" s="58" t="s">
        <v>104</v>
      </c>
      <c r="D26" s="59" t="s">
        <v>93</v>
      </c>
      <c r="E26" s="28" t="s">
        <v>94</v>
      </c>
      <c r="F26" s="29" t="n">
        <v>0.99</v>
      </c>
      <c r="G26" s="77" t="n">
        <f aca="false">(1+0.97+0.96)/3</f>
        <v>0.976666666666667</v>
      </c>
      <c r="H26" s="76" t="n">
        <f aca="false">(0.9+0.84+0.95)/3</f>
        <v>0.896666666666667</v>
      </c>
      <c r="I26" s="76" t="n">
        <f aca="false">(0.91+0.95+0.96)/3</f>
        <v>0.94</v>
      </c>
      <c r="J26" s="77" t="n">
        <f aca="false">(0.96+0.99+0.99)/3</f>
        <v>0.98</v>
      </c>
      <c r="K26" s="60" t="n">
        <f aca="false">(1+1+0.98)/3</f>
        <v>0.993333333333333</v>
      </c>
      <c r="L26" s="77" t="n">
        <f aca="false">(0.98+0.99+0.97)/3</f>
        <v>0.98</v>
      </c>
      <c r="M26" s="76" t="n">
        <v>0.92</v>
      </c>
      <c r="N26" s="77" t="n">
        <v>0.973</v>
      </c>
      <c r="O26" s="77" t="n">
        <v>0.973</v>
      </c>
      <c r="P26" s="78" t="s">
        <v>105</v>
      </c>
      <c r="Q26" s="78" t="s">
        <v>106</v>
      </c>
      <c r="R26" s="78" t="s">
        <v>107</v>
      </c>
      <c r="S26" s="78" t="s">
        <v>108</v>
      </c>
      <c r="T26" s="78"/>
      <c r="U26" s="78"/>
      <c r="V26" s="78"/>
      <c r="W26" s="78"/>
      <c r="X26" s="78"/>
    </row>
    <row r="27" customFormat="false" ht="84" hidden="false" customHeight="false" outlineLevel="0" collapsed="false">
      <c r="A27" s="25" t="s">
        <v>109</v>
      </c>
      <c r="B27" s="70" t="s">
        <v>110</v>
      </c>
      <c r="C27" s="58" t="s">
        <v>111</v>
      </c>
      <c r="D27" s="59" t="s">
        <v>93</v>
      </c>
      <c r="E27" s="28" t="s">
        <v>94</v>
      </c>
      <c r="F27" s="29" t="n">
        <v>0.99</v>
      </c>
      <c r="G27" s="77" t="n">
        <f aca="false">(0.97+0.98+0.97)/3</f>
        <v>0.973333333333333</v>
      </c>
      <c r="H27" s="77" t="n">
        <f aca="false">(0.92+0.99+1)/3</f>
        <v>0.97</v>
      </c>
      <c r="I27" s="76" t="n">
        <f aca="false">(0.99+1+0.88)/3</f>
        <v>0.956666666666667</v>
      </c>
      <c r="J27" s="60" t="n">
        <f aca="false">(1+1+1)/3</f>
        <v>1</v>
      </c>
      <c r="K27" s="60" t="n">
        <f aca="false">(1+1+1)/3</f>
        <v>1</v>
      </c>
      <c r="L27" s="60" t="n">
        <f aca="false">(1+1+1)/3</f>
        <v>1</v>
      </c>
      <c r="M27" s="60" t="n">
        <f aca="false">(1+1+1)/3</f>
        <v>1</v>
      </c>
      <c r="N27" s="60" t="n">
        <v>1</v>
      </c>
      <c r="O27" s="60" t="n">
        <v>1</v>
      </c>
      <c r="P27" s="74" t="s">
        <v>112</v>
      </c>
      <c r="Q27" s="74" t="s">
        <v>113</v>
      </c>
      <c r="R27" s="74" t="s">
        <v>114</v>
      </c>
      <c r="S27" s="74"/>
      <c r="T27" s="74"/>
      <c r="U27" s="74"/>
      <c r="V27" s="74"/>
      <c r="W27" s="74"/>
      <c r="X27" s="74"/>
    </row>
    <row r="28" customFormat="false" ht="14" hidden="false" customHeight="false" outlineLevel="0" collapsed="false">
      <c r="A28" s="25" t="s">
        <v>115</v>
      </c>
      <c r="B28" s="70" t="s">
        <v>116</v>
      </c>
      <c r="C28" s="58" t="s">
        <v>117</v>
      </c>
      <c r="D28" s="59"/>
      <c r="E28" s="28" t="s">
        <v>89</v>
      </c>
      <c r="F28" s="29" t="n">
        <v>0.99</v>
      </c>
      <c r="G28" s="60" t="n">
        <f aca="false">(1+1+1)/3</f>
        <v>1</v>
      </c>
      <c r="H28" s="60" t="n">
        <f aca="false">(1+1+1)/3</f>
        <v>1</v>
      </c>
      <c r="I28" s="60" t="n">
        <f aca="false">(1+0.9916+1)/3</f>
        <v>0.9972</v>
      </c>
      <c r="J28" s="60" t="n">
        <f aca="false">(1+0.9916+1)/3</f>
        <v>0.9972</v>
      </c>
      <c r="K28" s="60" t="n">
        <f aca="false">(0.9984+1+1)/3</f>
        <v>0.999466666666667</v>
      </c>
      <c r="L28" s="60" t="n">
        <f aca="false">(0.9986+1+1)/3</f>
        <v>0.999533333333333</v>
      </c>
      <c r="M28" s="60" t="n">
        <v>1</v>
      </c>
      <c r="N28" s="60" t="s">
        <v>72</v>
      </c>
      <c r="O28" s="60" t="n">
        <v>0.96</v>
      </c>
      <c r="P28" s="79"/>
      <c r="Q28" s="79"/>
      <c r="R28" s="79"/>
      <c r="S28" s="79"/>
      <c r="T28" s="79"/>
      <c r="U28" s="79"/>
      <c r="V28" s="79"/>
      <c r="W28" s="79"/>
      <c r="X28" s="79"/>
    </row>
    <row r="29" customFormat="false" ht="13" hidden="false" customHeight="false" outlineLevel="0" collapsed="false">
      <c r="A29" s="80"/>
      <c r="B29" s="81"/>
      <c r="C29" s="82"/>
      <c r="D29" s="83"/>
      <c r="E29" s="42"/>
      <c r="F29" s="51"/>
      <c r="G29" s="51"/>
      <c r="H29" s="51"/>
      <c r="I29" s="51"/>
      <c r="J29" s="51"/>
      <c r="K29" s="51"/>
      <c r="L29" s="51"/>
      <c r="M29" s="51"/>
      <c r="N29" s="51"/>
      <c r="O29" s="51"/>
      <c r="P29" s="79"/>
      <c r="Q29" s="79"/>
      <c r="R29" s="79"/>
      <c r="S29" s="79"/>
      <c r="T29" s="79"/>
      <c r="U29" s="79"/>
      <c r="V29" s="79"/>
      <c r="W29" s="79"/>
      <c r="X29" s="79"/>
    </row>
    <row r="30" customFormat="false" ht="55.5" hidden="false" customHeight="true" outlineLevel="0" collapsed="false">
      <c r="A30" s="25" t="s">
        <v>118</v>
      </c>
      <c r="B30" s="43" t="s">
        <v>65</v>
      </c>
      <c r="C30" s="26" t="s">
        <v>119</v>
      </c>
      <c r="D30" s="59"/>
      <c r="E30" s="28" t="s">
        <v>52</v>
      </c>
      <c r="F30" s="29" t="n">
        <v>0.97</v>
      </c>
      <c r="G30" s="73" t="n">
        <f aca="false">(0.99+1+1)/3</f>
        <v>0.996666666666667</v>
      </c>
      <c r="H30" s="73" t="n">
        <f aca="false">(0.98+0.98+1)/3</f>
        <v>0.986666666666667</v>
      </c>
      <c r="I30" s="73" t="n">
        <f aca="false">(0.992+0.996+0.999)/3</f>
        <v>0.995666666666667</v>
      </c>
      <c r="J30" s="73" t="n">
        <f aca="false">(1+0.995+0.998)/3</f>
        <v>0.997666666666667</v>
      </c>
      <c r="K30" s="73" t="n">
        <f aca="false">(0.985+1+0.992)/3</f>
        <v>0.992333333333333</v>
      </c>
      <c r="L30" s="71" t="n">
        <f aca="false">(0.99+0.69+0.847)/3</f>
        <v>0.842333333333333</v>
      </c>
      <c r="M30" s="60" t="n">
        <f aca="false">(0.99+1+0.996)/3</f>
        <v>0.995333333333333</v>
      </c>
      <c r="N30" s="60" t="s">
        <v>120</v>
      </c>
      <c r="O30" s="60"/>
      <c r="P30" s="74"/>
      <c r="Q30" s="74"/>
      <c r="R30" s="74"/>
      <c r="S30" s="74"/>
      <c r="T30" s="74" t="s">
        <v>121</v>
      </c>
      <c r="U30" s="74"/>
      <c r="V30" s="74"/>
      <c r="W30" s="74"/>
      <c r="X30" s="74"/>
    </row>
    <row r="31" customFormat="false" ht="31.5" hidden="false" customHeight="true" outlineLevel="0" collapsed="false">
      <c r="A31" s="25" t="s">
        <v>122</v>
      </c>
      <c r="B31" s="43" t="s">
        <v>109</v>
      </c>
      <c r="C31" s="84" t="s">
        <v>123</v>
      </c>
      <c r="D31" s="59"/>
      <c r="E31" s="28" t="s">
        <v>52</v>
      </c>
      <c r="F31" s="29" t="n">
        <v>0.97</v>
      </c>
      <c r="G31" s="76" t="n">
        <f aca="false">(0.87+1+1)/3</f>
        <v>0.956666666666667</v>
      </c>
      <c r="H31" s="60" t="n">
        <f aca="false">(1+1+1)/3</f>
        <v>1</v>
      </c>
      <c r="I31" s="60" t="n">
        <f aca="false">(1+1+1)/3</f>
        <v>1</v>
      </c>
      <c r="J31" s="60" t="n">
        <f aca="false">(1+1+1)/3</f>
        <v>1</v>
      </c>
      <c r="K31" s="60" t="n">
        <f aca="false">(1+0.99+1)/3</f>
        <v>0.996666666666667</v>
      </c>
      <c r="L31" s="60" t="n">
        <f aca="false">(0.99+1+1)/3</f>
        <v>0.996666666666667</v>
      </c>
      <c r="M31" s="60" t="n">
        <v>1</v>
      </c>
      <c r="N31" s="60" t="n">
        <v>0.987</v>
      </c>
      <c r="O31" s="60" t="n">
        <v>0.99</v>
      </c>
      <c r="P31" s="74" t="s">
        <v>124</v>
      </c>
      <c r="Q31" s="74"/>
      <c r="R31" s="74"/>
      <c r="S31" s="74"/>
      <c r="T31" s="74"/>
      <c r="U31" s="74"/>
      <c r="V31" s="74"/>
      <c r="W31" s="74"/>
      <c r="X31" s="74"/>
    </row>
    <row r="32" customFormat="false" ht="28" hidden="false" customHeight="false" outlineLevel="0" collapsed="false">
      <c r="A32" s="25" t="s">
        <v>125</v>
      </c>
      <c r="B32" s="43" t="s">
        <v>115</v>
      </c>
      <c r="C32" s="33" t="s">
        <v>126</v>
      </c>
      <c r="D32" s="59"/>
      <c r="E32" s="28" t="s">
        <v>52</v>
      </c>
      <c r="F32" s="29" t="n">
        <v>0.97</v>
      </c>
      <c r="G32" s="71" t="n">
        <f aca="false">(0.98+0.84+0.95)/3</f>
        <v>0.923333333333333</v>
      </c>
      <c r="H32" s="71" t="n">
        <f aca="false">(0.89+0.9+0.98)/3</f>
        <v>0.923333333333333</v>
      </c>
      <c r="I32" s="60" t="n">
        <f aca="false">(0.95+0.99+1)/3</f>
        <v>0.98</v>
      </c>
      <c r="J32" s="60" t="n">
        <f aca="false">(1+0.99+0.99)/3</f>
        <v>0.993333333333333</v>
      </c>
      <c r="K32" s="77" t="n">
        <f aca="false">(0.92+1+0.99)/3</f>
        <v>0.97</v>
      </c>
      <c r="L32" s="60" t="n">
        <f aca="false">(0.99+0.99+1)/3</f>
        <v>0.993333333333333</v>
      </c>
      <c r="M32" s="60" t="n">
        <f aca="false">(0.99+1+1)/3</f>
        <v>0.996666666666667</v>
      </c>
      <c r="N32" s="60" t="n">
        <v>0.993</v>
      </c>
      <c r="O32" s="60" t="n">
        <v>0.993</v>
      </c>
      <c r="P32" s="74" t="s">
        <v>127</v>
      </c>
      <c r="Q32" s="74" t="s">
        <v>127</v>
      </c>
      <c r="R32" s="74" t="s">
        <v>127</v>
      </c>
      <c r="S32" s="74"/>
      <c r="T32" s="74" t="s">
        <v>127</v>
      </c>
      <c r="U32" s="74"/>
      <c r="V32" s="74"/>
      <c r="W32" s="74"/>
      <c r="X32" s="74"/>
    </row>
    <row r="33" customFormat="false" ht="84" hidden="false" customHeight="false" outlineLevel="0" collapsed="false">
      <c r="A33" s="25" t="s">
        <v>128</v>
      </c>
      <c r="B33" s="43" t="s">
        <v>129</v>
      </c>
      <c r="C33" s="33" t="s">
        <v>130</v>
      </c>
      <c r="D33" s="27"/>
      <c r="E33" s="28" t="s">
        <v>52</v>
      </c>
      <c r="F33" s="29" t="n">
        <v>0.97</v>
      </c>
      <c r="G33" s="60" t="n">
        <f aca="false">(1+0.97+0.96)/3</f>
        <v>0.976666666666667</v>
      </c>
      <c r="H33" s="76" t="n">
        <f aca="false">(0.9+0.84+0.95)/3</f>
        <v>0.896666666666667</v>
      </c>
      <c r="I33" s="76" t="n">
        <f aca="false">(0.91+0.95+0.96)/3</f>
        <v>0.94</v>
      </c>
      <c r="J33" s="60" t="n">
        <f aca="false">(0.96+0.99+0.99)/3</f>
        <v>0.98</v>
      </c>
      <c r="K33" s="60" t="n">
        <f aca="false">(1+1+0.98)/3</f>
        <v>0.993333333333333</v>
      </c>
      <c r="L33" s="60" t="n">
        <f aca="false">(0.98+0.99+0.97)/3</f>
        <v>0.98</v>
      </c>
      <c r="M33" s="76" t="n">
        <f aca="false">(0.97+0.79+0.99)/3</f>
        <v>0.916666666666667</v>
      </c>
      <c r="N33" s="60" t="n">
        <v>0.973</v>
      </c>
      <c r="O33" s="77" t="n">
        <v>0.96</v>
      </c>
      <c r="P33" s="74" t="s">
        <v>131</v>
      </c>
      <c r="Q33" s="74" t="s">
        <v>132</v>
      </c>
      <c r="R33" s="74" t="s">
        <v>132</v>
      </c>
      <c r="S33" s="74" t="s">
        <v>132</v>
      </c>
      <c r="T33" s="74"/>
      <c r="U33" s="74"/>
      <c r="V33" s="74"/>
      <c r="W33" s="74"/>
      <c r="X33" s="74"/>
    </row>
    <row r="34" customFormat="false" ht="28" hidden="false" customHeight="false" outlineLevel="0" collapsed="false">
      <c r="A34" s="25" t="s">
        <v>133</v>
      </c>
      <c r="B34" s="70" t="s">
        <v>134</v>
      </c>
      <c r="C34" s="33" t="s">
        <v>135</v>
      </c>
      <c r="D34" s="27"/>
      <c r="E34" s="28" t="s">
        <v>52</v>
      </c>
      <c r="F34" s="29" t="n">
        <v>0.97</v>
      </c>
      <c r="G34" s="60" t="n">
        <f aca="false">(0.97+0.98+0.97)/3</f>
        <v>0.973333333333333</v>
      </c>
      <c r="H34" s="60" t="n">
        <f aca="false">(0.92+0.99+1)/3</f>
        <v>0.97</v>
      </c>
      <c r="I34" s="77" t="n">
        <f aca="false">(0.99+1+0.88)/3</f>
        <v>0.956666666666667</v>
      </c>
      <c r="J34" s="60" t="n">
        <f aca="false">(1+1+1)/3</f>
        <v>1</v>
      </c>
      <c r="K34" s="60" t="n">
        <f aca="false">(1+1+1)/3</f>
        <v>1</v>
      </c>
      <c r="L34" s="60" t="n">
        <f aca="false">(1+1+1)/3</f>
        <v>1</v>
      </c>
      <c r="M34" s="60" t="n">
        <v>1</v>
      </c>
      <c r="N34" s="60" t="n">
        <v>1</v>
      </c>
      <c r="O34" s="60" t="n">
        <v>0.986</v>
      </c>
      <c r="P34" s="74" t="s">
        <v>136</v>
      </c>
      <c r="Q34" s="74" t="s">
        <v>137</v>
      </c>
      <c r="R34" s="74" t="s">
        <v>137</v>
      </c>
      <c r="S34" s="74"/>
      <c r="T34" s="74"/>
      <c r="U34" s="74"/>
      <c r="V34" s="74"/>
      <c r="W34" s="74"/>
      <c r="X34" s="74"/>
    </row>
    <row r="35" customFormat="false" ht="28" hidden="false" customHeight="false" outlineLevel="0" collapsed="false">
      <c r="A35" s="25" t="s">
        <v>138</v>
      </c>
      <c r="B35" s="70" t="s">
        <v>139</v>
      </c>
      <c r="C35" s="33" t="s">
        <v>140</v>
      </c>
      <c r="D35" s="27"/>
      <c r="E35" s="28" t="s">
        <v>9</v>
      </c>
      <c r="F35" s="29" t="n">
        <v>0.95</v>
      </c>
      <c r="G35" s="60" t="n">
        <f aca="false">((1+1+1)*42+(168-42)*(1+1+1))/(168*3)</f>
        <v>1</v>
      </c>
      <c r="H35" s="60" t="n">
        <f aca="false">(1+1+1)/3</f>
        <v>1</v>
      </c>
      <c r="I35" s="60" t="n">
        <f aca="false">(1+1+1)/3</f>
        <v>1</v>
      </c>
      <c r="J35" s="60" t="n">
        <f aca="false">((1+1+1)*42+(168-42)*(1+1+1))/(168*3)</f>
        <v>1</v>
      </c>
      <c r="K35" s="60" t="n">
        <f aca="false">((1+1+1)*42+(168-42)*(1+1+1))/(168*3)</f>
        <v>1</v>
      </c>
      <c r="L35" s="60" t="n">
        <f aca="false">((1+1+1)*42+(168-42)*(1+1+1))/(168*3)</f>
        <v>1</v>
      </c>
      <c r="M35" s="60" t="n">
        <v>1</v>
      </c>
      <c r="N35" s="60" t="n">
        <v>1</v>
      </c>
      <c r="O35" s="60" t="n">
        <v>1</v>
      </c>
      <c r="P35" s="74"/>
      <c r="Q35" s="74"/>
      <c r="R35" s="74"/>
      <c r="S35" s="74"/>
      <c r="T35" s="74"/>
      <c r="U35" s="74"/>
      <c r="V35" s="74"/>
      <c r="W35" s="74"/>
      <c r="X35" s="74"/>
    </row>
    <row r="36" customFormat="false" ht="28" hidden="false" customHeight="false" outlineLevel="0" collapsed="false">
      <c r="A36" s="25" t="s">
        <v>141</v>
      </c>
      <c r="B36" s="70" t="s">
        <v>142</v>
      </c>
      <c r="C36" s="33" t="s">
        <v>143</v>
      </c>
      <c r="D36" s="27"/>
      <c r="E36" s="28" t="s">
        <v>9</v>
      </c>
      <c r="F36" s="35" t="s">
        <v>144</v>
      </c>
      <c r="G36" s="85" t="n">
        <f aca="false">(0+0+1)/3</f>
        <v>0.333333333333333</v>
      </c>
      <c r="H36" s="85" t="n">
        <f aca="false">(0+0+1)/3</f>
        <v>0.333333333333333</v>
      </c>
      <c r="I36" s="85" t="n">
        <f aca="false">(3+4+0)/3</f>
        <v>2.33333333333333</v>
      </c>
      <c r="J36" s="85" t="n">
        <f aca="false">(0+0+1)/3</f>
        <v>0.333333333333333</v>
      </c>
      <c r="K36" s="85" t="n">
        <f aca="false">(3+0+1)/3</f>
        <v>1.33333333333333</v>
      </c>
      <c r="L36" s="85" t="n">
        <f aca="false">(0+0+1)/3</f>
        <v>0.333333333333333</v>
      </c>
      <c r="M36" s="85" t="n">
        <f aca="false">(1+3+2)/3</f>
        <v>2</v>
      </c>
      <c r="N36" s="85" t="n">
        <v>0</v>
      </c>
      <c r="O36" s="85" t="n">
        <v>1</v>
      </c>
      <c r="P36" s="74"/>
      <c r="Q36" s="74"/>
      <c r="R36" s="74"/>
      <c r="S36" s="74"/>
      <c r="T36" s="74"/>
      <c r="U36" s="74"/>
      <c r="V36" s="74"/>
      <c r="W36" s="74"/>
      <c r="X36" s="74"/>
    </row>
    <row r="37" customFormat="false" ht="42" hidden="false" customHeight="false" outlineLevel="0" collapsed="false">
      <c r="A37" s="25" t="s">
        <v>145</v>
      </c>
      <c r="B37" s="70" t="s">
        <v>146</v>
      </c>
      <c r="C37" s="33" t="s">
        <v>147</v>
      </c>
      <c r="D37" s="27"/>
      <c r="E37" s="28" t="s">
        <v>9</v>
      </c>
      <c r="F37" s="29" t="n">
        <v>0.7</v>
      </c>
      <c r="G37" s="86" t="n">
        <f aca="false">(0.84+0.79+0.72)/3</f>
        <v>0.783333333333333</v>
      </c>
      <c r="H37" s="86" t="n">
        <f aca="false">(0.67+0.77+0.88)/3</f>
        <v>0.773333333333333</v>
      </c>
      <c r="I37" s="86" t="n">
        <f aca="false">(0.88+0.85+0.89)/3</f>
        <v>0.873333333333333</v>
      </c>
      <c r="J37" s="86" t="n">
        <f aca="false">(0.87+0.84+0.84)/3</f>
        <v>0.85</v>
      </c>
      <c r="K37" s="86" t="n">
        <f aca="false">(0.86+0.85+0.82)/3</f>
        <v>0.843333333333333</v>
      </c>
      <c r="L37" s="86" t="n">
        <f aca="false">(0.82+0.85+0.86)/3</f>
        <v>0.843333333333333</v>
      </c>
      <c r="M37" s="86" t="n">
        <f aca="false">(0.866+0.882+0.875)/3</f>
        <v>0.874333333333333</v>
      </c>
      <c r="N37" s="86" t="n">
        <v>0.823</v>
      </c>
      <c r="O37" s="86" t="n">
        <v>0.764</v>
      </c>
      <c r="P37" s="74"/>
      <c r="Q37" s="74"/>
      <c r="R37" s="74"/>
      <c r="S37" s="74"/>
      <c r="T37" s="74"/>
      <c r="U37" s="74"/>
      <c r="V37" s="74"/>
      <c r="W37" s="74"/>
      <c r="X37" s="62" t="s">
        <v>42</v>
      </c>
    </row>
    <row r="38" customFormat="false" ht="42" hidden="false" customHeight="false" outlineLevel="0" collapsed="false">
      <c r="A38" s="25" t="s">
        <v>148</v>
      </c>
      <c r="B38" s="70" t="s">
        <v>149</v>
      </c>
      <c r="C38" s="33" t="s">
        <v>150</v>
      </c>
      <c r="D38" s="27"/>
      <c r="E38" s="28" t="s">
        <v>9</v>
      </c>
      <c r="F38" s="29" t="n">
        <v>0.7</v>
      </c>
      <c r="G38" s="86" t="n">
        <f aca="false">(0.97+0.88+0.98)/3</f>
        <v>0.943333333333333</v>
      </c>
      <c r="H38" s="86" t="n">
        <f aca="false">(0.94+0.95+0.96)/3</f>
        <v>0.95</v>
      </c>
      <c r="I38" s="86" t="n">
        <f aca="false">(0.97+0.85+0.9)/3</f>
        <v>0.906666666666667</v>
      </c>
      <c r="J38" s="86" t="n">
        <f aca="false">(0.92+0.89+0.98)/3</f>
        <v>0.93</v>
      </c>
      <c r="K38" s="86" t="n">
        <f aca="false">(0.98+0.87+0.96)/3</f>
        <v>0.936666666666667</v>
      </c>
      <c r="L38" s="86" t="n">
        <f aca="false">(0.93+0.93+0.91)/3</f>
        <v>0.923333333333333</v>
      </c>
      <c r="M38" s="86" t="n">
        <f aca="false">(0.943+0.97+0.92)/3</f>
        <v>0.944333333333333</v>
      </c>
      <c r="N38" s="86" t="n">
        <v>0.971</v>
      </c>
      <c r="O38" s="86" t="n">
        <v>0.7545</v>
      </c>
      <c r="P38" s="74"/>
      <c r="Q38" s="74"/>
      <c r="R38" s="74"/>
      <c r="S38" s="74"/>
      <c r="T38" s="74"/>
      <c r="U38" s="74"/>
      <c r="V38" s="74"/>
      <c r="W38" s="74"/>
      <c r="X38" s="62" t="s">
        <v>42</v>
      </c>
    </row>
    <row r="39" customFormat="false" ht="42" hidden="false" customHeight="false" outlineLevel="0" collapsed="false">
      <c r="A39" s="25" t="s">
        <v>151</v>
      </c>
      <c r="B39" s="70" t="s">
        <v>152</v>
      </c>
      <c r="C39" s="33" t="s">
        <v>153</v>
      </c>
      <c r="D39" s="27"/>
      <c r="E39" s="28" t="s">
        <v>9</v>
      </c>
      <c r="F39" s="29" t="n">
        <v>0.2</v>
      </c>
      <c r="G39" s="86" t="n">
        <f aca="false">(0.78+0.79+0.75)/3</f>
        <v>0.773333333333333</v>
      </c>
      <c r="H39" s="86"/>
      <c r="I39" s="86" t="n">
        <f aca="false">(0.47+0.46+0.47)/3</f>
        <v>0.466666666666667</v>
      </c>
      <c r="J39" s="86" t="n">
        <f aca="false">(0.51+0.54+0.54)/3</f>
        <v>0.53</v>
      </c>
      <c r="K39" s="86" t="n">
        <f aca="false">(0.52+0.45+0.44)/3</f>
        <v>0.47</v>
      </c>
      <c r="L39" s="86" t="n">
        <f aca="false">(0.45+0.43+0.33)/3</f>
        <v>0.403333333333333</v>
      </c>
      <c r="M39" s="86" t="n">
        <f aca="false">(0.275+0.27+0.52)/3</f>
        <v>0.355</v>
      </c>
      <c r="N39" s="86"/>
      <c r="O39" s="86"/>
      <c r="P39" s="74"/>
      <c r="Q39" s="74"/>
      <c r="R39" s="74"/>
      <c r="S39" s="74"/>
      <c r="T39" s="74"/>
      <c r="U39" s="74"/>
      <c r="V39" s="74"/>
      <c r="W39" s="74"/>
      <c r="X39" s="62" t="s">
        <v>42</v>
      </c>
    </row>
    <row r="40" customFormat="false" ht="14" hidden="false" customHeight="false" outlineLevel="0" collapsed="false">
      <c r="A40" s="25" t="s">
        <v>154</v>
      </c>
      <c r="B40" s="70" t="s">
        <v>155</v>
      </c>
      <c r="C40" s="87" t="s">
        <v>156</v>
      </c>
      <c r="D40" s="27"/>
      <c r="E40" s="28" t="s">
        <v>89</v>
      </c>
      <c r="F40" s="63" t="n">
        <f aca="false">6770*0.8</f>
        <v>5416</v>
      </c>
      <c r="G40" s="88" t="n">
        <f aca="false">(22900+22480+21970)/3</f>
        <v>22450</v>
      </c>
      <c r="H40" s="88" t="n">
        <f aca="false">(22600+23500+24100)/3</f>
        <v>23400</v>
      </c>
      <c r="I40" s="89" t="n">
        <f aca="false">(24800+26900+27600)/3</f>
        <v>26433.3333333333</v>
      </c>
      <c r="J40" s="89" t="n">
        <f aca="false">(28700+31500+32700)/3</f>
        <v>30966.6666666667</v>
      </c>
      <c r="K40" s="89" t="n">
        <f aca="false">(33400+34300+35000)/3</f>
        <v>34233.3333333333</v>
      </c>
      <c r="L40" s="89" t="n">
        <f aca="false">(36890+36940+35800)/3</f>
        <v>36543.3333333333</v>
      </c>
      <c r="M40" s="89" t="n">
        <v>38500</v>
      </c>
      <c r="N40" s="89" t="n">
        <v>41034</v>
      </c>
      <c r="O40" s="89" t="n">
        <v>43100</v>
      </c>
      <c r="P40" s="74"/>
      <c r="Q40" s="74"/>
      <c r="R40" s="74"/>
      <c r="S40" s="74"/>
      <c r="T40" s="74"/>
      <c r="U40" s="74"/>
      <c r="V40" s="74"/>
      <c r="W40" s="74"/>
      <c r="X40" s="74"/>
    </row>
    <row r="41" customFormat="false" ht="13" hidden="false" customHeight="false" outlineLevel="0" collapsed="false">
      <c r="P41" s="1"/>
      <c r="Q41" s="1"/>
      <c r="R41" s="1"/>
      <c r="S41" s="1"/>
      <c r="T41" s="1"/>
      <c r="U41" s="1"/>
      <c r="V41" s="1"/>
      <c r="W41" s="1"/>
      <c r="X41" s="1"/>
    </row>
    <row r="42" customFormat="false" ht="14" hidden="false" customHeight="false" outlineLevel="0" collapsed="false">
      <c r="A42" s="90" t="s">
        <v>157</v>
      </c>
    </row>
    <row r="43" customFormat="false" ht="28" hidden="false" customHeight="false" outlineLevel="0" collapsed="false">
      <c r="A43" s="91" t="s">
        <v>158</v>
      </c>
      <c r="B43" s="92"/>
      <c r="C43" s="93" t="s">
        <v>159</v>
      </c>
      <c r="D43" s="94"/>
      <c r="E43" s="95" t="s">
        <v>160</v>
      </c>
      <c r="F43" s="94"/>
      <c r="G43" s="96"/>
      <c r="H43" s="96"/>
      <c r="I43" s="96"/>
      <c r="J43" s="96"/>
      <c r="K43" s="96"/>
      <c r="L43" s="97"/>
      <c r="M43" s="97"/>
      <c r="N43" s="97"/>
      <c r="O43" s="97"/>
      <c r="P43" s="98"/>
      <c r="Q43" s="98"/>
      <c r="R43" s="98"/>
      <c r="S43" s="98"/>
      <c r="T43" s="98"/>
      <c r="U43" s="98"/>
      <c r="V43" s="98"/>
      <c r="W43" s="98"/>
      <c r="X43" s="98"/>
    </row>
    <row r="44" customFormat="false" ht="28" hidden="false" customHeight="false" outlineLevel="0" collapsed="false">
      <c r="A44" s="99" t="s">
        <v>161</v>
      </c>
      <c r="B44" s="100"/>
      <c r="C44" s="101" t="s">
        <v>162</v>
      </c>
      <c r="D44" s="37"/>
      <c r="E44" s="102" t="s">
        <v>160</v>
      </c>
      <c r="F44" s="37"/>
      <c r="G44" s="50"/>
      <c r="H44" s="50"/>
      <c r="I44" s="50"/>
      <c r="J44" s="50"/>
      <c r="K44" s="50"/>
      <c r="L44" s="103"/>
      <c r="M44" s="103"/>
      <c r="N44" s="103"/>
      <c r="O44" s="103"/>
      <c r="P44" s="104"/>
      <c r="Q44" s="104"/>
      <c r="R44" s="104"/>
      <c r="S44" s="104"/>
      <c r="T44" s="104"/>
      <c r="U44" s="104"/>
      <c r="V44" s="104"/>
      <c r="W44" s="104"/>
      <c r="X44" s="104"/>
    </row>
    <row r="45" customFormat="false" ht="63.75" hidden="false" customHeight="true" outlineLevel="0" collapsed="false">
      <c r="A45" s="99" t="s">
        <v>163</v>
      </c>
      <c r="B45" s="100"/>
      <c r="C45" s="105" t="s">
        <v>164</v>
      </c>
      <c r="D45" s="37"/>
      <c r="E45" s="102" t="s">
        <v>160</v>
      </c>
      <c r="F45" s="37"/>
      <c r="G45" s="50"/>
      <c r="H45" s="50"/>
      <c r="I45" s="50"/>
      <c r="J45" s="50"/>
      <c r="K45" s="50"/>
      <c r="L45" s="103"/>
      <c r="M45" s="103"/>
      <c r="N45" s="103"/>
      <c r="O45" s="103"/>
      <c r="P45" s="106"/>
      <c r="Q45" s="106"/>
      <c r="R45" s="106"/>
      <c r="S45" s="106"/>
      <c r="T45" s="106"/>
      <c r="U45" s="106"/>
      <c r="V45" s="106"/>
      <c r="W45" s="106"/>
      <c r="X45" s="106"/>
    </row>
    <row r="46" s="116" customFormat="true" ht="84.75" hidden="false" customHeight="true" outlineLevel="0" collapsed="false">
      <c r="A46" s="107" t="s">
        <v>165</v>
      </c>
      <c r="B46" s="108"/>
      <c r="C46" s="109" t="s">
        <v>166</v>
      </c>
      <c r="D46" s="110"/>
      <c r="E46" s="111" t="s">
        <v>160</v>
      </c>
      <c r="F46" s="112" t="s">
        <v>167</v>
      </c>
      <c r="G46" s="113"/>
      <c r="H46" s="113"/>
      <c r="I46" s="114" t="n">
        <v>1</v>
      </c>
      <c r="J46" s="114" t="n">
        <v>1</v>
      </c>
      <c r="K46" s="114" t="n">
        <v>0.9999</v>
      </c>
      <c r="L46" s="114"/>
      <c r="M46" s="114" t="n">
        <v>1</v>
      </c>
      <c r="N46" s="114"/>
      <c r="O46" s="114"/>
      <c r="P46" s="115" t="s">
        <v>168</v>
      </c>
      <c r="Q46" s="115"/>
      <c r="R46" s="115"/>
      <c r="S46" s="115"/>
      <c r="T46" s="115" t="s">
        <v>169</v>
      </c>
      <c r="U46" s="115"/>
      <c r="V46" s="115"/>
      <c r="W46" s="115"/>
      <c r="X46" s="115"/>
    </row>
    <row r="47" s="116" customFormat="true" ht="54" hidden="false" customHeight="true" outlineLevel="0" collapsed="false">
      <c r="A47" s="117" t="s">
        <v>170</v>
      </c>
      <c r="B47" s="118"/>
      <c r="C47" s="119" t="s">
        <v>171</v>
      </c>
      <c r="D47" s="120"/>
      <c r="E47" s="121" t="s">
        <v>172</v>
      </c>
      <c r="F47" s="122" t="s">
        <v>167</v>
      </c>
      <c r="G47" s="123" t="n">
        <v>100</v>
      </c>
      <c r="H47" s="123" t="n">
        <v>99.96</v>
      </c>
      <c r="I47" s="123" t="n">
        <v>100</v>
      </c>
      <c r="J47" s="123" t="n">
        <v>100</v>
      </c>
      <c r="K47" s="123" t="n">
        <v>99</v>
      </c>
      <c r="L47" s="124" t="n">
        <v>100</v>
      </c>
      <c r="M47" s="124" t="n">
        <v>100</v>
      </c>
      <c r="N47" s="124" t="n">
        <v>100</v>
      </c>
      <c r="O47" s="124" t="n">
        <v>100</v>
      </c>
      <c r="P47" s="125"/>
      <c r="Q47" s="125"/>
      <c r="R47" s="125"/>
      <c r="S47" s="125"/>
      <c r="T47" s="125"/>
      <c r="U47" s="125"/>
      <c r="V47" s="125"/>
      <c r="W47" s="125"/>
      <c r="X47" s="125"/>
    </row>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2:G30"/>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0" ySplit="8" topLeftCell="A9" activePane="bottomLeft" state="frozen"/>
      <selection pane="topLeft" activeCell="A1" activeCellId="0" sqref="A1"/>
      <selection pane="bottomLeft" activeCell="H6" activeCellId="0" sqref="H6"/>
    </sheetView>
  </sheetViews>
  <sheetFormatPr defaultRowHeight="13" zeroHeight="false" outlineLevelRow="0" outlineLevelCol="0"/>
  <cols>
    <col collapsed="false" customWidth="true" hidden="false" outlineLevel="0" max="1" min="1" style="0" width="13.5"/>
    <col collapsed="false" customWidth="true" hidden="false" outlineLevel="0" max="2" min="2" style="0" width="37.5"/>
    <col collapsed="false" customWidth="true" hidden="false" outlineLevel="0" max="3" min="3" style="0" width="19.66"/>
    <col collapsed="false" customWidth="true" hidden="false" outlineLevel="0" max="4" min="4" style="0" width="16.16"/>
    <col collapsed="false" customWidth="true" hidden="false" outlineLevel="0" max="5" min="5" style="0" width="13.01"/>
    <col collapsed="false" customWidth="true" hidden="false" outlineLevel="0" max="6" min="6" style="0" width="21.66"/>
    <col collapsed="false" customWidth="true" hidden="false" outlineLevel="0" max="7" min="7" style="0" width="62.99"/>
    <col collapsed="false" customWidth="true" hidden="false" outlineLevel="0" max="1025" min="8" style="0" width="8.83"/>
  </cols>
  <sheetData>
    <row r="2" customFormat="false" ht="13" hidden="false" customHeight="false" outlineLevel="0" collapsed="false">
      <c r="A2" s="126" t="s">
        <v>0</v>
      </c>
      <c r="B2" s="127"/>
      <c r="D2" s="128"/>
      <c r="E2" s="129" t="s">
        <v>173</v>
      </c>
      <c r="F2" s="130"/>
      <c r="G2" s="131" t="s">
        <v>174</v>
      </c>
    </row>
    <row r="3" customFormat="false" ht="13" hidden="false" customHeight="false" outlineLevel="0" collapsed="false">
      <c r="A3" s="132" t="s">
        <v>2</v>
      </c>
      <c r="B3" s="133" t="str">
        <f aca="false">Metrics!B3</f>
        <v>Tier-1</v>
      </c>
      <c r="D3" s="134"/>
      <c r="E3" s="135" t="s">
        <v>175</v>
      </c>
      <c r="F3" s="136"/>
      <c r="G3" s="0" t="s">
        <v>176</v>
      </c>
    </row>
    <row r="4" customFormat="false" ht="13" hidden="false" customHeight="false" outlineLevel="0" collapsed="false">
      <c r="A4" s="8" t="s">
        <v>5</v>
      </c>
      <c r="B4" s="9" t="str">
        <f aca="false">Metrics!B4</f>
        <v>Q1 19</v>
      </c>
      <c r="D4" s="137"/>
      <c r="E4" s="135" t="s">
        <v>177</v>
      </c>
      <c r="F4" s="138"/>
      <c r="G4" s="0" t="s">
        <v>178</v>
      </c>
    </row>
    <row r="5" customFormat="false" ht="13" hidden="false" customHeight="false" outlineLevel="0" collapsed="false">
      <c r="A5" s="15" t="s">
        <v>8</v>
      </c>
      <c r="B5" s="16" t="str">
        <f aca="false">Metrics!B5</f>
        <v>Darren Moore</v>
      </c>
      <c r="D5" s="19"/>
      <c r="E5" s="139" t="s">
        <v>11</v>
      </c>
      <c r="F5" s="140"/>
      <c r="G5" s="0" t="s">
        <v>179</v>
      </c>
    </row>
    <row r="6" customFormat="false" ht="13" hidden="false" customHeight="false" outlineLevel="0" collapsed="false">
      <c r="A6" s="141" t="s">
        <v>180</v>
      </c>
    </row>
    <row r="8" customFormat="false" ht="20" hidden="false" customHeight="true" outlineLevel="0" collapsed="false">
      <c r="A8" s="21" t="s">
        <v>181</v>
      </c>
      <c r="B8" s="21" t="s">
        <v>14</v>
      </c>
      <c r="C8" s="21" t="s">
        <v>16</v>
      </c>
      <c r="D8" s="21" t="s">
        <v>182</v>
      </c>
      <c r="E8" s="21" t="s">
        <v>183</v>
      </c>
      <c r="F8" s="21" t="s">
        <v>184</v>
      </c>
      <c r="G8" s="21" t="s">
        <v>185</v>
      </c>
    </row>
    <row r="9" customFormat="false" ht="28" hidden="false" customHeight="false" outlineLevel="0" collapsed="false">
      <c r="A9" s="142" t="s">
        <v>186</v>
      </c>
      <c r="B9" s="143" t="s">
        <v>187</v>
      </c>
      <c r="C9" s="144" t="s">
        <v>59</v>
      </c>
      <c r="D9" s="145" t="n">
        <v>42522</v>
      </c>
      <c r="E9" s="146"/>
      <c r="F9" s="146"/>
      <c r="G9" s="146" t="s">
        <v>188</v>
      </c>
    </row>
    <row r="10" customFormat="false" ht="14" hidden="false" customHeight="false" outlineLevel="0" collapsed="false">
      <c r="A10" s="142" t="s">
        <v>189</v>
      </c>
      <c r="B10" s="144" t="s">
        <v>190</v>
      </c>
      <c r="C10" s="144" t="s">
        <v>59</v>
      </c>
      <c r="D10" s="145" t="n">
        <v>42675</v>
      </c>
      <c r="E10" s="147" t="n">
        <v>42767</v>
      </c>
      <c r="F10" s="146"/>
      <c r="G10" s="146" t="s">
        <v>191</v>
      </c>
    </row>
    <row r="11" customFormat="false" ht="14" hidden="false" customHeight="false" outlineLevel="0" collapsed="false">
      <c r="A11" s="142" t="s">
        <v>192</v>
      </c>
      <c r="B11" s="144" t="s">
        <v>193</v>
      </c>
      <c r="C11" s="144" t="s">
        <v>59</v>
      </c>
      <c r="D11" s="145" t="n">
        <v>42826</v>
      </c>
      <c r="E11" s="146"/>
      <c r="F11" s="146"/>
      <c r="G11" s="146" t="s">
        <v>194</v>
      </c>
    </row>
    <row r="12" customFormat="false" ht="14" hidden="false" customHeight="false" outlineLevel="0" collapsed="false">
      <c r="A12" s="142" t="s">
        <v>195</v>
      </c>
      <c r="B12" s="144" t="s">
        <v>196</v>
      </c>
      <c r="C12" s="144" t="s">
        <v>197</v>
      </c>
      <c r="D12" s="145" t="n">
        <v>42856</v>
      </c>
      <c r="E12" s="146"/>
      <c r="F12" s="146"/>
      <c r="G12" s="148" t="s">
        <v>198</v>
      </c>
    </row>
    <row r="13" customFormat="false" ht="14" hidden="false" customHeight="false" outlineLevel="0" collapsed="false">
      <c r="A13" s="142" t="s">
        <v>199</v>
      </c>
      <c r="B13" s="144" t="s">
        <v>187</v>
      </c>
      <c r="C13" s="144" t="s">
        <v>197</v>
      </c>
      <c r="D13" s="145" t="n">
        <v>42887</v>
      </c>
      <c r="E13" s="146"/>
      <c r="F13" s="146"/>
      <c r="G13" s="146" t="s">
        <v>200</v>
      </c>
    </row>
    <row r="14" customFormat="false" ht="28" hidden="false" customHeight="false" outlineLevel="0" collapsed="false">
      <c r="A14" s="142" t="s">
        <v>201</v>
      </c>
      <c r="B14" s="144" t="s">
        <v>202</v>
      </c>
      <c r="C14" s="144" t="s">
        <v>197</v>
      </c>
      <c r="D14" s="145" t="n">
        <v>43040</v>
      </c>
      <c r="E14" s="149"/>
      <c r="F14" s="146"/>
      <c r="G14" s="146" t="s">
        <v>203</v>
      </c>
    </row>
    <row r="15" customFormat="false" ht="14" hidden="false" customHeight="false" outlineLevel="0" collapsed="false">
      <c r="A15" s="142" t="s">
        <v>204</v>
      </c>
      <c r="B15" s="144" t="s">
        <v>205</v>
      </c>
      <c r="C15" s="144" t="s">
        <v>197</v>
      </c>
      <c r="D15" s="145" t="n">
        <v>43191</v>
      </c>
      <c r="E15" s="147" t="n">
        <v>43344</v>
      </c>
      <c r="F15" s="146"/>
      <c r="G15" s="146" t="s">
        <v>206</v>
      </c>
    </row>
    <row r="16" customFormat="false" ht="14" hidden="false" customHeight="false" outlineLevel="0" collapsed="false">
      <c r="A16" s="142" t="s">
        <v>207</v>
      </c>
      <c r="B16" s="144" t="s">
        <v>196</v>
      </c>
      <c r="C16" s="144" t="s">
        <v>197</v>
      </c>
      <c r="D16" s="145" t="n">
        <v>43221</v>
      </c>
      <c r="E16" s="147" t="n">
        <v>43344</v>
      </c>
      <c r="F16" s="146"/>
      <c r="G16" s="146" t="s">
        <v>208</v>
      </c>
    </row>
    <row r="17" customFormat="false" ht="28" hidden="false" customHeight="false" outlineLevel="0" collapsed="false">
      <c r="A17" s="142" t="s">
        <v>209</v>
      </c>
      <c r="B17" s="143" t="s">
        <v>187</v>
      </c>
      <c r="C17" s="144" t="s">
        <v>197</v>
      </c>
      <c r="D17" s="145" t="n">
        <v>43252</v>
      </c>
      <c r="E17" s="147" t="n">
        <v>43313</v>
      </c>
      <c r="F17" s="146"/>
      <c r="G17" s="146" t="s">
        <v>210</v>
      </c>
    </row>
    <row r="18" customFormat="false" ht="14" hidden="false" customHeight="false" outlineLevel="0" collapsed="false">
      <c r="A18" s="142" t="s">
        <v>211</v>
      </c>
      <c r="B18" s="144" t="s">
        <v>212</v>
      </c>
      <c r="C18" s="144" t="s">
        <v>197</v>
      </c>
      <c r="D18" s="145" t="n">
        <v>43405</v>
      </c>
      <c r="E18" s="147" t="n">
        <v>43435</v>
      </c>
      <c r="F18" s="146"/>
      <c r="G18" s="146" t="s">
        <v>213</v>
      </c>
    </row>
    <row r="19" customFormat="false" ht="28" hidden="false" customHeight="false" outlineLevel="0" collapsed="false">
      <c r="A19" s="142" t="s">
        <v>214</v>
      </c>
      <c r="B19" s="144" t="s">
        <v>215</v>
      </c>
      <c r="C19" s="144" t="s">
        <v>197</v>
      </c>
      <c r="D19" s="145" t="n">
        <v>43556</v>
      </c>
      <c r="E19" s="147" t="n">
        <v>43525</v>
      </c>
      <c r="F19" s="146"/>
      <c r="G19" s="146" t="s">
        <v>216</v>
      </c>
    </row>
    <row r="20" customFormat="false" ht="32.25" hidden="false" customHeight="true" outlineLevel="0" collapsed="false">
      <c r="A20" s="150" t="s">
        <v>217</v>
      </c>
      <c r="B20" s="151" t="s">
        <v>196</v>
      </c>
      <c r="C20" s="144" t="s">
        <v>197</v>
      </c>
      <c r="D20" s="152" t="n">
        <v>43586</v>
      </c>
      <c r="E20" s="75"/>
      <c r="F20" s="75"/>
      <c r="G20" s="75"/>
    </row>
    <row r="21" customFormat="false" ht="14" hidden="false" customHeight="false" outlineLevel="0" collapsed="false">
      <c r="A21" s="150" t="s">
        <v>218</v>
      </c>
      <c r="B21" s="153" t="s">
        <v>187</v>
      </c>
      <c r="C21" s="144" t="s">
        <v>197</v>
      </c>
      <c r="D21" s="152" t="n">
        <v>43617</v>
      </c>
      <c r="E21" s="75"/>
      <c r="F21" s="75"/>
      <c r="G21" s="75"/>
    </row>
    <row r="22" customFormat="false" ht="42.75" hidden="false" customHeight="true" outlineLevel="0" collapsed="false">
      <c r="A22" s="150" t="s">
        <v>219</v>
      </c>
      <c r="B22" s="151" t="s">
        <v>220</v>
      </c>
      <c r="C22" s="144" t="s">
        <v>197</v>
      </c>
      <c r="D22" s="152" t="n">
        <v>43770</v>
      </c>
      <c r="E22" s="75"/>
      <c r="F22" s="75"/>
      <c r="G22" s="75"/>
    </row>
    <row r="23" customFormat="false" ht="42.75" hidden="false" customHeight="true" outlineLevel="0" collapsed="false">
      <c r="A23" s="150" t="s">
        <v>221</v>
      </c>
      <c r="B23" s="151" t="s">
        <v>222</v>
      </c>
      <c r="C23" s="144" t="s">
        <v>197</v>
      </c>
      <c r="D23" s="152" t="n">
        <v>43922</v>
      </c>
      <c r="E23" s="75"/>
      <c r="F23" s="75"/>
      <c r="G23" s="75"/>
    </row>
    <row r="24" customFormat="false" ht="128.25" hidden="false" customHeight="true" outlineLevel="0" collapsed="false">
      <c r="A24" s="150" t="s">
        <v>223</v>
      </c>
      <c r="B24" s="151" t="s">
        <v>196</v>
      </c>
      <c r="C24" s="144" t="s">
        <v>197</v>
      </c>
      <c r="D24" s="152" t="n">
        <v>43952</v>
      </c>
      <c r="E24" s="75"/>
      <c r="F24" s="75"/>
      <c r="G24" s="75"/>
    </row>
    <row r="25" customFormat="false" ht="48.75" hidden="false" customHeight="true" outlineLevel="0" collapsed="false"/>
    <row r="29" customFormat="false" ht="49.5" hidden="false" customHeight="true" outlineLevel="0" collapsed="false"/>
    <row r="30" customFormat="false" ht="35" hidden="false" customHeight="true" outlineLevel="0" collapsed="false"/>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RowHeight="13" zeroHeight="false" outlineLevelRow="0" outlineLevelCol="0"/>
  <cols>
    <col collapsed="false" customWidth="true" hidden="false" outlineLevel="0" max="1" min="1" style="0" width="15"/>
    <col collapsed="false" customWidth="true" hidden="false" outlineLevel="0" max="3" min="2" style="0" width="24.49"/>
    <col collapsed="false" customWidth="true" hidden="false" outlineLevel="0" max="4" min="4" style="0" width="17.51"/>
    <col collapsed="false" customWidth="true" hidden="false" outlineLevel="0" max="5" min="5" style="0" width="13.17"/>
    <col collapsed="false" customWidth="false" hidden="false" outlineLevel="0" max="6" min="6" style="0" width="11.5"/>
    <col collapsed="false" customWidth="true" hidden="false" outlineLevel="0" max="7" min="7" style="0" width="12.5"/>
    <col collapsed="false" customWidth="true" hidden="false" outlineLevel="0" max="8" min="8" style="0" width="10.99"/>
    <col collapsed="false" customWidth="true" hidden="false" outlineLevel="0" max="9" min="9" style="0" width="11.16"/>
    <col collapsed="false" customWidth="true" hidden="false" outlineLevel="0" max="10" min="10" style="0" width="18"/>
    <col collapsed="false" customWidth="true" hidden="false" outlineLevel="0" max="11" min="11" style="0" width="8.83"/>
    <col collapsed="false" customWidth="true" hidden="false" outlineLevel="0" max="12" min="12" style="0" width="12.83"/>
    <col collapsed="false" customWidth="true" hidden="false" outlineLevel="0" max="13" min="13" style="0" width="12.17"/>
    <col collapsed="false" customWidth="true" hidden="false" outlineLevel="0" max="1025" min="14" style="0" width="8.83"/>
  </cols>
  <sheetData>
    <row r="1" customFormat="false" ht="16" hidden="false" customHeight="false" outlineLevel="0" collapsed="false">
      <c r="A1" s="154"/>
      <c r="B1" s="154"/>
      <c r="C1" s="154"/>
      <c r="D1" s="154"/>
      <c r="E1" s="154"/>
      <c r="F1" s="154"/>
      <c r="G1" s="154"/>
      <c r="H1" s="154"/>
      <c r="I1" s="154"/>
      <c r="J1" s="154"/>
      <c r="K1" s="154"/>
    </row>
    <row r="2" customFormat="false" ht="16" hidden="false" customHeight="false" outlineLevel="0" collapsed="false">
      <c r="A2" s="155" t="s">
        <v>0</v>
      </c>
      <c r="B2" s="156"/>
      <c r="E2" s="154"/>
      <c r="F2" s="154"/>
      <c r="G2" s="154"/>
      <c r="H2" s="154"/>
      <c r="I2" s="154"/>
    </row>
    <row r="3" customFormat="false" ht="16" hidden="false" customHeight="false" outlineLevel="0" collapsed="false">
      <c r="A3" s="157" t="s">
        <v>2</v>
      </c>
      <c r="B3" s="158" t="s">
        <v>3</v>
      </c>
      <c r="E3" s="154"/>
      <c r="F3" s="154"/>
      <c r="G3" s="154"/>
      <c r="H3" s="154"/>
      <c r="I3" s="154"/>
    </row>
    <row r="4" customFormat="false" ht="16" hidden="false" customHeight="false" outlineLevel="0" collapsed="false">
      <c r="A4" s="159" t="s">
        <v>5</v>
      </c>
      <c r="B4" s="9" t="str">
        <f aca="false">Metrics!B4</f>
        <v>Q1 19</v>
      </c>
      <c r="E4" s="154"/>
      <c r="F4" s="154"/>
      <c r="G4" s="154"/>
      <c r="H4" s="154"/>
      <c r="I4" s="154"/>
    </row>
    <row r="5" customFormat="false" ht="16" hidden="false" customHeight="false" outlineLevel="0" collapsed="false">
      <c r="A5" s="160" t="s">
        <v>8</v>
      </c>
      <c r="B5" s="161" t="s">
        <v>197</v>
      </c>
      <c r="E5" s="154"/>
      <c r="F5" s="154"/>
      <c r="G5" s="154"/>
      <c r="H5" s="154"/>
      <c r="I5" s="154"/>
    </row>
    <row r="6" customFormat="false" ht="16" hidden="false" customHeight="false" outlineLevel="0" collapsed="false">
      <c r="A6" s="154"/>
      <c r="B6" s="154"/>
      <c r="C6" s="154"/>
      <c r="D6" s="154"/>
      <c r="E6" s="154"/>
      <c r="F6" s="154"/>
      <c r="G6" s="154"/>
      <c r="H6" s="154"/>
      <c r="I6" s="154"/>
    </row>
    <row r="7" customFormat="false" ht="16" hidden="false" customHeight="false" outlineLevel="0" collapsed="false">
      <c r="A7" s="162" t="s">
        <v>224</v>
      </c>
      <c r="B7" s="162"/>
      <c r="C7" s="162"/>
      <c r="D7" s="154"/>
      <c r="E7" s="154"/>
      <c r="F7" s="154"/>
      <c r="G7" s="154"/>
      <c r="H7" s="154"/>
      <c r="I7" s="154"/>
    </row>
    <row r="8" customFormat="false" ht="13.5" hidden="false" customHeight="true" outlineLevel="0" collapsed="false">
      <c r="A8" s="163"/>
      <c r="B8" s="164"/>
      <c r="C8" s="165"/>
      <c r="D8" s="166" t="s">
        <v>225</v>
      </c>
      <c r="E8" s="166"/>
      <c r="F8" s="166"/>
      <c r="G8" s="167" t="s">
        <v>226</v>
      </c>
      <c r="H8" s="167"/>
      <c r="I8" s="167"/>
    </row>
    <row r="9" customFormat="false" ht="34" hidden="false" customHeight="false" outlineLevel="0" collapsed="false">
      <c r="A9" s="168" t="s">
        <v>227</v>
      </c>
      <c r="B9" s="169" t="s">
        <v>228</v>
      </c>
      <c r="C9" s="169" t="s">
        <v>229</v>
      </c>
      <c r="D9" s="170" t="s">
        <v>230</v>
      </c>
      <c r="E9" s="171" t="s">
        <v>231</v>
      </c>
      <c r="F9" s="172" t="s">
        <v>232</v>
      </c>
      <c r="G9" s="173" t="s">
        <v>230</v>
      </c>
      <c r="H9" s="171" t="s">
        <v>231</v>
      </c>
      <c r="I9" s="174" t="s">
        <v>232</v>
      </c>
    </row>
    <row r="10" customFormat="false" ht="34" hidden="false" customHeight="false" outlineLevel="0" collapsed="false">
      <c r="A10" s="175" t="s">
        <v>3</v>
      </c>
      <c r="B10" s="176" t="s">
        <v>233</v>
      </c>
      <c r="C10" s="177" t="s">
        <v>234</v>
      </c>
      <c r="D10" s="178" t="n">
        <v>4.5</v>
      </c>
      <c r="E10" s="178"/>
      <c r="F10" s="178"/>
      <c r="G10" s="179"/>
      <c r="H10" s="180"/>
      <c r="I10" s="181"/>
      <c r="J10" s="131"/>
      <c r="K10" s="1"/>
      <c r="L10" s="182"/>
      <c r="M10" s="182"/>
    </row>
    <row r="11" customFormat="false" ht="34" hidden="false" customHeight="false" outlineLevel="0" collapsed="false">
      <c r="A11" s="183" t="s">
        <v>3</v>
      </c>
      <c r="B11" s="184" t="s">
        <v>235</v>
      </c>
      <c r="C11" s="185" t="s">
        <v>236</v>
      </c>
      <c r="D11" s="178" t="n">
        <v>3</v>
      </c>
      <c r="E11" s="178"/>
      <c r="F11" s="178"/>
      <c r="G11" s="186"/>
      <c r="H11" s="186"/>
      <c r="I11" s="186"/>
      <c r="J11" s="131"/>
      <c r="L11" s="182"/>
      <c r="M11" s="182"/>
    </row>
    <row r="12" customFormat="false" ht="51" hidden="false" customHeight="false" outlineLevel="0" collapsed="false">
      <c r="A12" s="183" t="s">
        <v>3</v>
      </c>
      <c r="B12" s="184" t="s">
        <v>237</v>
      </c>
      <c r="C12" s="185" t="s">
        <v>238</v>
      </c>
      <c r="D12" s="178" t="n">
        <v>3</v>
      </c>
      <c r="E12" s="178"/>
      <c r="F12" s="178"/>
      <c r="G12" s="187"/>
      <c r="H12" s="187"/>
      <c r="I12" s="187"/>
      <c r="J12" s="188"/>
      <c r="L12" s="182"/>
      <c r="M12" s="182"/>
      <c r="R12" s="182"/>
    </row>
    <row r="13" customFormat="false" ht="34" hidden="false" customHeight="false" outlineLevel="0" collapsed="false">
      <c r="A13" s="183" t="s">
        <v>3</v>
      </c>
      <c r="B13" s="184" t="s">
        <v>239</v>
      </c>
      <c r="C13" s="185" t="s">
        <v>240</v>
      </c>
      <c r="D13" s="178" t="n">
        <v>1</v>
      </c>
      <c r="E13" s="178"/>
      <c r="F13" s="178"/>
      <c r="G13" s="187"/>
      <c r="H13" s="189"/>
      <c r="I13" s="190"/>
      <c r="J13" s="191"/>
      <c r="L13" s="182"/>
      <c r="M13" s="182"/>
    </row>
    <row r="14" customFormat="false" ht="17" hidden="false" customHeight="false" outlineLevel="0" collapsed="false">
      <c r="A14" s="183" t="s">
        <v>3</v>
      </c>
      <c r="B14" s="184" t="s">
        <v>241</v>
      </c>
      <c r="C14" s="185" t="s">
        <v>242</v>
      </c>
      <c r="D14" s="178" t="n">
        <v>1</v>
      </c>
      <c r="E14" s="178"/>
      <c r="F14" s="178"/>
      <c r="G14" s="187"/>
      <c r="H14" s="187"/>
      <c r="I14" s="187"/>
      <c r="J14" s="191"/>
      <c r="L14" s="182"/>
      <c r="M14" s="182"/>
    </row>
    <row r="15" customFormat="false" ht="17" hidden="false" customHeight="false" outlineLevel="0" collapsed="false">
      <c r="A15" s="183" t="s">
        <v>3</v>
      </c>
      <c r="B15" s="184" t="s">
        <v>243</v>
      </c>
      <c r="C15" s="185" t="s">
        <v>244</v>
      </c>
      <c r="D15" s="178" t="n">
        <v>2.2</v>
      </c>
      <c r="E15" s="178"/>
      <c r="F15" s="178"/>
      <c r="G15" s="192"/>
      <c r="H15" s="192"/>
      <c r="I15" s="192"/>
      <c r="J15" s="191"/>
      <c r="L15" s="182"/>
      <c r="M15" s="182"/>
    </row>
    <row r="16" customFormat="false" ht="16" hidden="false" customHeight="false" outlineLevel="0" collapsed="false">
      <c r="A16" s="193" t="s">
        <v>245</v>
      </c>
      <c r="B16" s="194"/>
      <c r="C16" s="194"/>
      <c r="D16" s="178" t="n">
        <v>14.7</v>
      </c>
      <c r="E16" s="178"/>
      <c r="F16" s="178"/>
      <c r="G16" s="195" t="n">
        <f aca="false">SUM(G10:G15)</f>
        <v>0</v>
      </c>
      <c r="H16" s="196" t="n">
        <f aca="false">SUM(H10:H15)</f>
        <v>0</v>
      </c>
      <c r="I16" s="196" t="n">
        <f aca="false">SUM(I10:I15)</f>
        <v>0</v>
      </c>
      <c r="N16" s="182"/>
    </row>
    <row r="17" customFormat="false" ht="16" hidden="false" customHeight="false" outlineLevel="0" collapsed="false">
      <c r="A17" s="154"/>
      <c r="B17" s="154"/>
      <c r="C17" s="154"/>
      <c r="D17" s="154"/>
      <c r="E17" s="154"/>
      <c r="F17" s="197"/>
      <c r="G17" s="154"/>
      <c r="H17" s="154"/>
      <c r="I17" s="154"/>
      <c r="J17" s="154"/>
      <c r="K17" s="154"/>
    </row>
    <row r="18" customFormat="false" ht="16" hidden="false" customHeight="false" outlineLevel="0" collapsed="false">
      <c r="A18" s="154"/>
      <c r="B18" s="154"/>
      <c r="C18" s="154"/>
      <c r="D18" s="154"/>
      <c r="E18" s="154"/>
      <c r="F18" s="154"/>
      <c r="G18" s="154"/>
      <c r="H18" s="197"/>
      <c r="I18" s="154"/>
      <c r="J18" s="154"/>
      <c r="K18" s="154"/>
    </row>
    <row r="19" customFormat="false" ht="13.5" hidden="false" customHeight="true" outlineLevel="0" collapsed="false">
      <c r="A19" s="163"/>
      <c r="B19" s="164"/>
      <c r="C19" s="165"/>
      <c r="D19" s="166" t="s">
        <v>225</v>
      </c>
      <c r="E19" s="166"/>
      <c r="F19" s="166"/>
      <c r="G19" s="167" t="s">
        <v>226</v>
      </c>
      <c r="H19" s="167"/>
      <c r="I19" s="167"/>
    </row>
    <row r="20" customFormat="false" ht="34" hidden="false" customHeight="false" outlineLevel="0" collapsed="false">
      <c r="A20" s="168" t="s">
        <v>227</v>
      </c>
      <c r="B20" s="169" t="s">
        <v>228</v>
      </c>
      <c r="C20" s="169" t="s">
        <v>229</v>
      </c>
      <c r="D20" s="170" t="s">
        <v>230</v>
      </c>
      <c r="E20" s="171" t="s">
        <v>231</v>
      </c>
      <c r="F20" s="172" t="s">
        <v>232</v>
      </c>
      <c r="G20" s="173" t="s">
        <v>230</v>
      </c>
      <c r="H20" s="171" t="s">
        <v>231</v>
      </c>
      <c r="I20" s="174" t="s">
        <v>232</v>
      </c>
    </row>
    <row r="21" customFormat="false" ht="17" hidden="false" customHeight="false" outlineLevel="0" collapsed="false">
      <c r="A21" s="175" t="s">
        <v>3</v>
      </c>
      <c r="B21" s="176" t="s">
        <v>246</v>
      </c>
      <c r="C21" s="198" t="s">
        <v>247</v>
      </c>
      <c r="D21" s="199" t="n">
        <v>0.45</v>
      </c>
      <c r="E21" s="199" t="n">
        <v>0.25</v>
      </c>
      <c r="F21" s="199" t="n">
        <v>0.25</v>
      </c>
      <c r="G21" s="179"/>
      <c r="H21" s="180"/>
      <c r="I21" s="181"/>
      <c r="J21" s="131"/>
      <c r="K21" s="1"/>
      <c r="L21" s="182"/>
      <c r="M21" s="182"/>
    </row>
    <row r="22" customFormat="false" ht="17" hidden="false" customHeight="false" outlineLevel="0" collapsed="false">
      <c r="A22" s="183" t="s">
        <v>3</v>
      </c>
      <c r="B22" s="184" t="s">
        <v>248</v>
      </c>
      <c r="C22" s="200" t="s">
        <v>249</v>
      </c>
      <c r="D22" s="201"/>
      <c r="E22" s="201"/>
      <c r="F22" s="201"/>
      <c r="G22" s="186"/>
      <c r="H22" s="186"/>
      <c r="I22" s="186"/>
      <c r="J22" s="131"/>
      <c r="L22" s="182"/>
      <c r="M22" s="182"/>
    </row>
    <row r="23" customFormat="false" ht="16" hidden="false" customHeight="false" outlineLevel="0" collapsed="false">
      <c r="A23" s="193" t="s">
        <v>245</v>
      </c>
      <c r="B23" s="194"/>
      <c r="C23" s="202"/>
      <c r="D23" s="196" t="n">
        <f aca="false">SUM(D21:D22)</f>
        <v>0.45</v>
      </c>
      <c r="E23" s="196" t="n">
        <f aca="false">SUM(E21:E22)</f>
        <v>0.25</v>
      </c>
      <c r="F23" s="196" t="n">
        <f aca="false">SUM(F21:F22)</f>
        <v>0.25</v>
      </c>
      <c r="G23" s="196" t="n">
        <f aca="false">SUM(G21:G22)</f>
        <v>0</v>
      </c>
      <c r="H23" s="196" t="n">
        <f aca="false">SUM(H21:H22)</f>
        <v>0</v>
      </c>
      <c r="I23" s="196" t="n">
        <f aca="false">SUM(I21:I22)</f>
        <v>0</v>
      </c>
    </row>
    <row r="24" customFormat="false" ht="16" hidden="false" customHeight="false" outlineLevel="0" collapsed="false">
      <c r="A24" s="154"/>
      <c r="B24" s="154"/>
      <c r="C24" s="154"/>
      <c r="D24" s="154"/>
      <c r="E24" s="154"/>
      <c r="F24" s="154"/>
      <c r="G24" s="154"/>
      <c r="H24" s="154"/>
      <c r="I24" s="154"/>
      <c r="J24" s="154"/>
      <c r="K24" s="154"/>
    </row>
    <row r="25" customFormat="false" ht="16" hidden="false" customHeight="false" outlineLevel="0" collapsed="false">
      <c r="A25" s="154"/>
      <c r="B25" s="154"/>
      <c r="C25" s="154"/>
      <c r="D25" s="154"/>
      <c r="E25" s="154"/>
      <c r="F25" s="154"/>
      <c r="G25" s="154"/>
      <c r="H25" s="154"/>
      <c r="I25" s="154"/>
      <c r="J25" s="154"/>
      <c r="K25" s="154"/>
    </row>
    <row r="26" customFormat="false" ht="16" hidden="false" customHeight="false" outlineLevel="0" collapsed="false">
      <c r="A26" s="154"/>
      <c r="B26" s="154"/>
      <c r="C26" s="154"/>
      <c r="D26" s="154"/>
      <c r="E26" s="154"/>
      <c r="F26" s="154"/>
      <c r="G26" s="154"/>
      <c r="H26" s="154"/>
      <c r="I26" s="154"/>
      <c r="J26" s="154"/>
      <c r="K26" s="154"/>
    </row>
    <row r="27" customFormat="false" ht="16" hidden="false" customHeight="false" outlineLevel="0" collapsed="false">
      <c r="A27" s="203"/>
      <c r="B27" s="154"/>
      <c r="C27" s="154"/>
      <c r="D27" s="154"/>
      <c r="E27" s="154"/>
      <c r="F27" s="154"/>
      <c r="G27" s="154"/>
      <c r="H27" s="154"/>
      <c r="I27" s="154"/>
      <c r="J27" s="154"/>
      <c r="K27" s="154"/>
      <c r="N27" s="182"/>
    </row>
    <row r="28" customFormat="false" ht="16" hidden="false" customHeight="false" outlineLevel="0" collapsed="false">
      <c r="A28" s="154" t="s">
        <v>250</v>
      </c>
      <c r="B28" s="154"/>
      <c r="C28" s="154"/>
      <c r="D28" s="154"/>
      <c r="E28" s="154"/>
      <c r="F28" s="154"/>
      <c r="G28" s="154"/>
      <c r="H28" s="154"/>
      <c r="I28" s="154"/>
      <c r="J28" s="154"/>
      <c r="K28" s="154"/>
    </row>
    <row r="29" customFormat="false" ht="16" hidden="false" customHeight="false" outlineLevel="0" collapsed="false">
      <c r="A29" s="154" t="s">
        <v>251</v>
      </c>
      <c r="B29" s="154"/>
      <c r="C29" s="154"/>
      <c r="D29" s="154"/>
      <c r="E29" s="154"/>
      <c r="F29" s="154"/>
      <c r="G29" s="154"/>
      <c r="H29" s="154"/>
      <c r="I29" s="154"/>
      <c r="J29" s="154"/>
      <c r="K29" s="154"/>
    </row>
  </sheetData>
  <mergeCells count="11">
    <mergeCell ref="D8:F8"/>
    <mergeCell ref="G8:I8"/>
    <mergeCell ref="D10:F10"/>
    <mergeCell ref="D11:F11"/>
    <mergeCell ref="D12:F12"/>
    <mergeCell ref="D13:F13"/>
    <mergeCell ref="D14:F14"/>
    <mergeCell ref="D15:F15"/>
    <mergeCell ref="D16:F16"/>
    <mergeCell ref="D19:F19"/>
    <mergeCell ref="G19:I19"/>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sheetPr filterMode="false">
    <pageSetUpPr fitToPage="true"/>
  </sheetPr>
  <dimension ref="A2:O59"/>
  <sheetViews>
    <sheetView showFormulas="false" showGridLines="true" showRowColHeaders="true" showZeros="true" rightToLeft="false" tabSelected="false" showOutlineSymbols="true" defaultGridColor="true" view="normal" topLeftCell="A35" colorId="64" zoomScale="100" zoomScaleNormal="100" zoomScalePageLayoutView="100" workbookViewId="0">
      <selection pane="topLeft" activeCell="A52" activeCellId="0" sqref="A52"/>
    </sheetView>
  </sheetViews>
  <sheetFormatPr defaultRowHeight="13" zeroHeight="false" outlineLevelRow="0" outlineLevelCol="0"/>
  <cols>
    <col collapsed="false" customWidth="true" hidden="false" outlineLevel="0" max="1" min="1" style="0" width="14.5"/>
    <col collapsed="false" customWidth="true" hidden="false" outlineLevel="0" max="2" min="2" style="0" width="22.83"/>
    <col collapsed="false" customWidth="true" hidden="false" outlineLevel="0" max="1025" min="3" style="0" width="8.83"/>
  </cols>
  <sheetData>
    <row r="2" customFormat="false" ht="13" hidden="false" customHeight="false" outlineLevel="0" collapsed="false">
      <c r="A2" s="126" t="s">
        <v>0</v>
      </c>
      <c r="B2" s="127"/>
    </row>
    <row r="3" customFormat="false" ht="13" hidden="false" customHeight="false" outlineLevel="0" collapsed="false">
      <c r="A3" s="204" t="s">
        <v>2</v>
      </c>
      <c r="B3" s="205" t="str">
        <f aca="false">Metrics!B3</f>
        <v>Tier-1</v>
      </c>
    </row>
    <row r="4" customFormat="false" ht="13" hidden="false" customHeight="false" outlineLevel="0" collapsed="false">
      <c r="A4" s="8" t="s">
        <v>5</v>
      </c>
      <c r="B4" s="9" t="str">
        <f aca="false">Metrics!B4</f>
        <v>Q1 19</v>
      </c>
    </row>
    <row r="5" customFormat="false" ht="13" hidden="false" customHeight="false" outlineLevel="0" collapsed="false">
      <c r="A5" s="15" t="s">
        <v>8</v>
      </c>
      <c r="B5" s="16" t="str">
        <f aca="false">Metrics!B5</f>
        <v>Darren Moore</v>
      </c>
    </row>
    <row r="7" customFormat="false" ht="13" hidden="false" customHeight="false" outlineLevel="0" collapsed="false">
      <c r="A7" s="206" t="s">
        <v>252</v>
      </c>
    </row>
    <row r="8" customFormat="false" ht="16.5" hidden="false" customHeight="true" outlineLevel="0" collapsed="false">
      <c r="A8" s="207" t="s">
        <v>228</v>
      </c>
      <c r="B8" s="208" t="s">
        <v>253</v>
      </c>
      <c r="C8" s="208"/>
      <c r="D8" s="208"/>
      <c r="E8" s="208"/>
      <c r="F8" s="208"/>
      <c r="G8" s="209" t="s">
        <v>254</v>
      </c>
      <c r="H8" s="209"/>
      <c r="I8" s="209"/>
      <c r="J8" s="209"/>
      <c r="K8" s="209"/>
    </row>
    <row r="9" customFormat="false" ht="122.25" hidden="false" customHeight="true" outlineLevel="0" collapsed="false">
      <c r="A9" s="210" t="s">
        <v>255</v>
      </c>
      <c r="B9" s="211"/>
      <c r="C9" s="211"/>
      <c r="D9" s="211"/>
      <c r="E9" s="211"/>
      <c r="F9" s="211"/>
      <c r="G9" s="212"/>
      <c r="H9" s="212"/>
      <c r="I9" s="212"/>
      <c r="J9" s="212"/>
      <c r="K9" s="212"/>
      <c r="N9" s="213"/>
    </row>
    <row r="10" customFormat="false" ht="217.5" hidden="false" customHeight="true" outlineLevel="0" collapsed="false">
      <c r="A10" s="214" t="s">
        <v>241</v>
      </c>
      <c r="B10" s="215" t="s">
        <v>256</v>
      </c>
      <c r="C10" s="215"/>
      <c r="D10" s="215"/>
      <c r="E10" s="215"/>
      <c r="F10" s="215"/>
      <c r="G10" s="216"/>
      <c r="H10" s="216"/>
      <c r="I10" s="216"/>
      <c r="J10" s="216"/>
      <c r="K10" s="216"/>
    </row>
    <row r="11" customFormat="false" ht="143.25" hidden="false" customHeight="true" outlineLevel="0" collapsed="false">
      <c r="A11" s="214" t="s">
        <v>257</v>
      </c>
      <c r="B11" s="215" t="s">
        <v>258</v>
      </c>
      <c r="C11" s="215"/>
      <c r="D11" s="215"/>
      <c r="E11" s="215"/>
      <c r="F11" s="215"/>
      <c r="G11" s="216" t="s">
        <v>259</v>
      </c>
      <c r="H11" s="216"/>
      <c r="I11" s="216"/>
      <c r="J11" s="216"/>
      <c r="K11" s="216"/>
    </row>
    <row r="12" customFormat="false" ht="241.5" hidden="false" customHeight="true" outlineLevel="0" collapsed="false">
      <c r="A12" s="214" t="s">
        <v>260</v>
      </c>
      <c r="B12" s="215" t="s">
        <v>261</v>
      </c>
      <c r="C12" s="215"/>
      <c r="D12" s="215"/>
      <c r="E12" s="215"/>
      <c r="F12" s="215"/>
      <c r="G12" s="216"/>
      <c r="H12" s="216"/>
      <c r="I12" s="216"/>
      <c r="J12" s="216"/>
      <c r="K12" s="216"/>
    </row>
    <row r="13" customFormat="false" ht="351.75" hidden="false" customHeight="true" outlineLevel="0" collapsed="false">
      <c r="A13" s="214" t="s">
        <v>262</v>
      </c>
      <c r="B13" s="215" t="s">
        <v>263</v>
      </c>
      <c r="C13" s="215"/>
      <c r="D13" s="215"/>
      <c r="E13" s="215"/>
      <c r="F13" s="215"/>
      <c r="G13" s="217"/>
      <c r="H13" s="217"/>
      <c r="I13" s="217"/>
      <c r="J13" s="217"/>
      <c r="K13" s="217"/>
    </row>
    <row r="14" customFormat="false" ht="309" hidden="false" customHeight="true" outlineLevel="0" collapsed="false">
      <c r="A14" s="214" t="s">
        <v>264</v>
      </c>
      <c r="B14" s="218"/>
      <c r="C14" s="218"/>
      <c r="D14" s="218"/>
      <c r="E14" s="218"/>
      <c r="F14" s="218"/>
      <c r="G14" s="217"/>
      <c r="H14" s="217"/>
      <c r="I14" s="217"/>
      <c r="J14" s="217"/>
      <c r="K14" s="217"/>
    </row>
    <row r="15" customFormat="false" ht="129.75" hidden="false" customHeight="true" outlineLevel="0" collapsed="false">
      <c r="A15" s="214" t="s">
        <v>265</v>
      </c>
      <c r="B15" s="215" t="s">
        <v>266</v>
      </c>
      <c r="C15" s="215"/>
      <c r="D15" s="215"/>
      <c r="E15" s="215"/>
      <c r="F15" s="215"/>
      <c r="G15" s="217"/>
      <c r="H15" s="217"/>
      <c r="I15" s="217"/>
      <c r="J15" s="217"/>
      <c r="K15" s="217"/>
    </row>
    <row r="16" customFormat="false" ht="176.25" hidden="false" customHeight="true" outlineLevel="0" collapsed="false">
      <c r="A16" s="214" t="s">
        <v>267</v>
      </c>
      <c r="B16" s="215"/>
      <c r="C16" s="215"/>
      <c r="D16" s="215"/>
      <c r="E16" s="215"/>
      <c r="F16" s="215"/>
      <c r="G16" s="219" t="s">
        <v>268</v>
      </c>
      <c r="H16" s="219"/>
      <c r="I16" s="219"/>
      <c r="J16" s="219"/>
      <c r="K16" s="219"/>
    </row>
    <row r="17" customFormat="false" ht="212.25" hidden="false" customHeight="true" outlineLevel="0" collapsed="false">
      <c r="A17" s="214" t="s">
        <v>269</v>
      </c>
      <c r="B17" s="215" t="s">
        <v>270</v>
      </c>
      <c r="C17" s="215"/>
      <c r="D17" s="215"/>
      <c r="E17" s="215"/>
      <c r="F17" s="215"/>
      <c r="G17" s="217"/>
      <c r="H17" s="217"/>
      <c r="I17" s="217"/>
      <c r="J17" s="217"/>
      <c r="K17" s="217"/>
    </row>
    <row r="18" customFormat="false" ht="409.5" hidden="false" customHeight="true" outlineLevel="0" collapsed="false">
      <c r="A18" s="214" t="s">
        <v>271</v>
      </c>
      <c r="B18" s="215"/>
      <c r="C18" s="215"/>
      <c r="D18" s="215"/>
      <c r="E18" s="215"/>
      <c r="F18" s="215"/>
      <c r="G18" s="217" t="s">
        <v>272</v>
      </c>
      <c r="H18" s="217"/>
      <c r="I18" s="217"/>
      <c r="J18" s="217"/>
      <c r="K18" s="217"/>
    </row>
    <row r="19" customFormat="false" ht="248.25" hidden="false" customHeight="true" outlineLevel="0" collapsed="false">
      <c r="A19" s="220" t="s">
        <v>273</v>
      </c>
      <c r="B19" s="221"/>
      <c r="C19" s="221"/>
      <c r="D19" s="221"/>
      <c r="E19" s="221"/>
      <c r="F19" s="221"/>
      <c r="G19" s="222"/>
      <c r="H19" s="222"/>
      <c r="I19" s="222"/>
      <c r="J19" s="222"/>
      <c r="K19" s="222"/>
    </row>
    <row r="20" customFormat="false" ht="146.25" hidden="false" customHeight="true" outlineLevel="0" collapsed="false">
      <c r="A20" s="220" t="s">
        <v>274</v>
      </c>
      <c r="B20" s="223"/>
      <c r="C20" s="223"/>
      <c r="D20" s="223"/>
      <c r="E20" s="223"/>
      <c r="F20" s="223"/>
      <c r="G20" s="224"/>
      <c r="H20" s="224"/>
      <c r="I20" s="224"/>
      <c r="J20" s="224"/>
      <c r="K20" s="224"/>
    </row>
    <row r="21" customFormat="false" ht="146.25" hidden="false" customHeight="true" outlineLevel="0" collapsed="false">
      <c r="A21" s="220" t="s">
        <v>246</v>
      </c>
      <c r="B21" s="225" t="s">
        <v>275</v>
      </c>
      <c r="C21" s="225"/>
      <c r="D21" s="225"/>
      <c r="E21" s="225"/>
      <c r="F21" s="225"/>
      <c r="G21" s="226" t="s">
        <v>276</v>
      </c>
      <c r="H21" s="226"/>
      <c r="I21" s="226"/>
      <c r="J21" s="226"/>
      <c r="K21" s="226"/>
    </row>
    <row r="22" customFormat="false" ht="180" hidden="false" customHeight="true" outlineLevel="0" collapsed="false">
      <c r="A22" s="220" t="s">
        <v>248</v>
      </c>
      <c r="B22" s="221"/>
      <c r="C22" s="221"/>
      <c r="D22" s="221"/>
      <c r="E22" s="221"/>
      <c r="F22" s="221"/>
      <c r="G22" s="222"/>
      <c r="H22" s="222"/>
      <c r="I22" s="222"/>
      <c r="J22" s="222"/>
      <c r="K22" s="222"/>
    </row>
    <row r="23" customFormat="false" ht="13" hidden="false" customHeight="false" outlineLevel="0" collapsed="false">
      <c r="A23" s="0" t="s">
        <v>277</v>
      </c>
    </row>
    <row r="25" customFormat="false" ht="13" hidden="false" customHeight="false" outlineLevel="0" collapsed="false">
      <c r="A25" s="206" t="s">
        <v>278</v>
      </c>
    </row>
    <row r="26" customFormat="false" ht="13" hidden="false" customHeight="false" outlineLevel="0" collapsed="false">
      <c r="A26" s="227" t="s">
        <v>279</v>
      </c>
      <c r="B26" s="227"/>
      <c r="C26" s="227"/>
      <c r="D26" s="227"/>
      <c r="E26" s="227"/>
      <c r="F26" s="228" t="s">
        <v>280</v>
      </c>
      <c r="G26" s="228"/>
      <c r="H26" s="228"/>
      <c r="I26" s="228"/>
      <c r="J26" s="228"/>
    </row>
    <row r="27" customFormat="false" ht="81" hidden="false" customHeight="true" outlineLevel="0" collapsed="false">
      <c r="A27" s="229" t="s">
        <v>281</v>
      </c>
      <c r="B27" s="229"/>
      <c r="C27" s="229"/>
      <c r="D27" s="229"/>
      <c r="E27" s="229"/>
      <c r="F27" s="230" t="s">
        <v>282</v>
      </c>
      <c r="G27" s="230"/>
      <c r="H27" s="230"/>
      <c r="I27" s="230"/>
      <c r="J27" s="230"/>
    </row>
    <row r="28" customFormat="false" ht="13" hidden="false" customHeight="false" outlineLevel="0" collapsed="false">
      <c r="A28" s="231"/>
      <c r="B28" s="231"/>
      <c r="C28" s="231"/>
      <c r="D28" s="231"/>
      <c r="E28" s="231"/>
      <c r="F28" s="232"/>
      <c r="G28" s="232"/>
      <c r="H28" s="232"/>
      <c r="I28" s="232"/>
      <c r="J28" s="232"/>
    </row>
    <row r="30" customFormat="false" ht="13" hidden="false" customHeight="false" outlineLevel="0" collapsed="false">
      <c r="A30" s="206" t="s">
        <v>283</v>
      </c>
    </row>
    <row r="31" customFormat="false" ht="13" hidden="false" customHeight="false" outlineLevel="0" collapsed="false">
      <c r="A31" s="227" t="s">
        <v>279</v>
      </c>
      <c r="B31" s="227"/>
      <c r="C31" s="227"/>
      <c r="D31" s="227"/>
      <c r="E31" s="227"/>
      <c r="F31" s="228" t="s">
        <v>280</v>
      </c>
      <c r="G31" s="228"/>
      <c r="H31" s="228"/>
      <c r="I31" s="228"/>
      <c r="J31" s="228"/>
    </row>
    <row r="32" customFormat="false" ht="93" hidden="false" customHeight="true" outlineLevel="0" collapsed="false">
      <c r="A32" s="229" t="s">
        <v>284</v>
      </c>
      <c r="B32" s="229"/>
      <c r="C32" s="229"/>
      <c r="D32" s="229"/>
      <c r="E32" s="229"/>
      <c r="F32" s="233" t="s">
        <v>285</v>
      </c>
      <c r="G32" s="233"/>
      <c r="H32" s="233"/>
      <c r="I32" s="233"/>
      <c r="J32" s="233"/>
    </row>
    <row r="33" customFormat="false" ht="118.5" hidden="false" customHeight="true" outlineLevel="0" collapsed="false">
      <c r="A33" s="229" t="s">
        <v>286</v>
      </c>
      <c r="B33" s="229"/>
      <c r="C33" s="229"/>
      <c r="D33" s="229"/>
      <c r="E33" s="229"/>
      <c r="F33" s="233" t="s">
        <v>287</v>
      </c>
      <c r="G33" s="233"/>
      <c r="H33" s="233"/>
      <c r="I33" s="233"/>
      <c r="J33" s="233"/>
    </row>
    <row r="34" customFormat="false" ht="93" hidden="false" customHeight="true" outlineLevel="0" collapsed="false">
      <c r="A34" s="229" t="s">
        <v>288</v>
      </c>
      <c r="B34" s="229"/>
      <c r="C34" s="229"/>
      <c r="D34" s="229"/>
      <c r="E34" s="229"/>
      <c r="F34" s="233" t="s">
        <v>289</v>
      </c>
      <c r="G34" s="233"/>
      <c r="H34" s="233"/>
      <c r="I34" s="233"/>
      <c r="J34" s="233"/>
    </row>
    <row r="35" customFormat="false" ht="93" hidden="false" customHeight="true" outlineLevel="0" collapsed="false">
      <c r="A35" s="229" t="s">
        <v>290</v>
      </c>
      <c r="B35" s="229"/>
      <c r="C35" s="229"/>
      <c r="D35" s="229"/>
      <c r="E35" s="229"/>
      <c r="F35" s="233" t="s">
        <v>291</v>
      </c>
      <c r="G35" s="233"/>
      <c r="H35" s="233"/>
      <c r="I35" s="233"/>
      <c r="J35" s="233"/>
    </row>
    <row r="36" customFormat="false" ht="135" hidden="false" customHeight="true" outlineLevel="0" collapsed="false">
      <c r="A36" s="234" t="s">
        <v>292</v>
      </c>
      <c r="B36" s="234"/>
      <c r="C36" s="234"/>
      <c r="D36" s="234"/>
      <c r="E36" s="234"/>
      <c r="F36" s="235" t="s">
        <v>293</v>
      </c>
      <c r="G36" s="235"/>
      <c r="H36" s="235"/>
      <c r="I36" s="235"/>
      <c r="J36" s="235"/>
    </row>
    <row r="38" customFormat="false" ht="13" hidden="false" customHeight="false" outlineLevel="0" collapsed="false">
      <c r="A38" s="206" t="s">
        <v>294</v>
      </c>
    </row>
    <row r="39" customFormat="false" ht="13" hidden="false" customHeight="false" outlineLevel="0" collapsed="false">
      <c r="A39" s="227" t="s">
        <v>295</v>
      </c>
      <c r="B39" s="227"/>
      <c r="C39" s="227"/>
      <c r="D39" s="227"/>
      <c r="E39" s="227"/>
      <c r="F39" s="236" t="s">
        <v>296</v>
      </c>
      <c r="G39" s="236"/>
      <c r="H39" s="237" t="s">
        <v>297</v>
      </c>
      <c r="I39" s="237"/>
      <c r="J39" s="237"/>
      <c r="K39" s="237"/>
      <c r="L39" s="237"/>
    </row>
    <row r="40" customFormat="false" ht="115.5" hidden="false" customHeight="true" outlineLevel="0" collapsed="false">
      <c r="A40" s="238" t="s">
        <v>298</v>
      </c>
      <c r="B40" s="238"/>
      <c r="C40" s="238"/>
      <c r="D40" s="238"/>
      <c r="E40" s="238"/>
      <c r="F40" s="239" t="s">
        <v>299</v>
      </c>
      <c r="G40" s="239"/>
      <c r="H40" s="230" t="s">
        <v>216</v>
      </c>
      <c r="I40" s="230"/>
      <c r="J40" s="230"/>
      <c r="K40" s="230"/>
      <c r="L40" s="230"/>
    </row>
    <row r="41" customFormat="false" ht="115.5" hidden="false" customHeight="true" outlineLevel="0" collapsed="false">
      <c r="A41" s="240"/>
      <c r="B41" s="240"/>
      <c r="C41" s="240"/>
      <c r="D41" s="240"/>
      <c r="E41" s="240"/>
      <c r="F41" s="241"/>
      <c r="G41" s="241"/>
      <c r="H41" s="242"/>
      <c r="I41" s="242"/>
      <c r="J41" s="242"/>
      <c r="K41" s="242"/>
      <c r="L41" s="242"/>
    </row>
    <row r="42" customFormat="false" ht="115.5" hidden="false" customHeight="true" outlineLevel="0" collapsed="false">
      <c r="A42" s="243"/>
      <c r="B42" s="243"/>
      <c r="C42" s="243"/>
      <c r="D42" s="243"/>
      <c r="E42" s="243"/>
      <c r="F42" s="244"/>
      <c r="G42" s="244"/>
      <c r="H42" s="245"/>
      <c r="I42" s="245"/>
      <c r="J42" s="245"/>
      <c r="K42" s="245"/>
      <c r="L42" s="245"/>
    </row>
    <row r="43" customFormat="false" ht="24.75" hidden="false" customHeight="true" outlineLevel="0" collapsed="false">
      <c r="O43" s="246"/>
    </row>
    <row r="44" customFormat="false" ht="24.75" hidden="false" customHeight="true" outlineLevel="0" collapsed="false">
      <c r="A44" s="206" t="s">
        <v>300</v>
      </c>
      <c r="O44" s="246"/>
    </row>
    <row r="45" customFormat="false" ht="24.75" hidden="false" customHeight="true" outlineLevel="0" collapsed="false">
      <c r="A45" s="227" t="s">
        <v>295</v>
      </c>
      <c r="B45" s="227"/>
      <c r="C45" s="227"/>
      <c r="D45" s="227"/>
      <c r="E45" s="227"/>
      <c r="F45" s="236" t="s">
        <v>296</v>
      </c>
      <c r="G45" s="236"/>
      <c r="H45" s="237" t="s">
        <v>301</v>
      </c>
      <c r="I45" s="237"/>
      <c r="J45" s="237"/>
      <c r="K45" s="237"/>
      <c r="L45" s="237"/>
      <c r="O45" s="246"/>
    </row>
    <row r="46" customFormat="false" ht="115.5" hidden="false" customHeight="true" outlineLevel="0" collapsed="false">
      <c r="A46" s="240" t="s">
        <v>302</v>
      </c>
      <c r="B46" s="240"/>
      <c r="C46" s="240"/>
      <c r="D46" s="240"/>
      <c r="E46" s="240"/>
      <c r="F46" s="241" t="s">
        <v>303</v>
      </c>
      <c r="G46" s="241"/>
      <c r="H46" s="242"/>
      <c r="I46" s="242"/>
      <c r="J46" s="242"/>
      <c r="K46" s="242"/>
      <c r="L46" s="242"/>
    </row>
    <row r="47" customFormat="false" ht="115.5" hidden="false" customHeight="true" outlineLevel="0" collapsed="false">
      <c r="A47" s="243" t="s">
        <v>304</v>
      </c>
      <c r="B47" s="243"/>
      <c r="C47" s="243"/>
      <c r="D47" s="243"/>
      <c r="E47" s="243"/>
      <c r="F47" s="244" t="s">
        <v>305</v>
      </c>
      <c r="G47" s="244"/>
      <c r="H47" s="245"/>
      <c r="I47" s="245"/>
      <c r="J47" s="245"/>
      <c r="K47" s="245"/>
      <c r="L47" s="245"/>
    </row>
    <row r="48" customFormat="false" ht="115.5" hidden="false" customHeight="true" outlineLevel="0" collapsed="false">
      <c r="A48" s="243"/>
      <c r="B48" s="243"/>
      <c r="C48" s="243"/>
      <c r="D48" s="243"/>
      <c r="E48" s="243"/>
      <c r="F48" s="244"/>
      <c r="G48" s="244"/>
      <c r="H48" s="245"/>
      <c r="I48" s="245"/>
      <c r="J48" s="245"/>
      <c r="K48" s="245"/>
      <c r="L48" s="245"/>
    </row>
    <row r="50" customFormat="false" ht="24.75" hidden="false" customHeight="true" outlineLevel="0" collapsed="false">
      <c r="A50" s="206" t="s">
        <v>306</v>
      </c>
      <c r="O50" s="246"/>
    </row>
    <row r="51" customFormat="false" ht="24.75" hidden="false" customHeight="true" outlineLevel="0" collapsed="false">
      <c r="A51" s="247" t="s">
        <v>295</v>
      </c>
      <c r="B51" s="247"/>
      <c r="C51" s="247"/>
      <c r="D51" s="247"/>
      <c r="E51" s="247"/>
      <c r="F51" s="248" t="s">
        <v>307</v>
      </c>
      <c r="G51" s="248"/>
      <c r="H51" s="249" t="s">
        <v>308</v>
      </c>
      <c r="I51" s="249"/>
      <c r="J51" s="250" t="s">
        <v>309</v>
      </c>
      <c r="K51" s="250"/>
      <c r="L51" s="250"/>
      <c r="M51" s="250"/>
      <c r="N51" s="250"/>
      <c r="O51" s="246"/>
    </row>
    <row r="52" customFormat="false" ht="66.75" hidden="false" customHeight="true" outlineLevel="0" collapsed="false">
      <c r="A52" s="251"/>
      <c r="B52" s="251"/>
      <c r="C52" s="251"/>
      <c r="D52" s="251"/>
      <c r="E52" s="251"/>
      <c r="F52" s="252"/>
      <c r="G52" s="252"/>
      <c r="H52" s="253"/>
      <c r="I52" s="253"/>
      <c r="J52" s="254"/>
      <c r="K52" s="254"/>
      <c r="L52" s="254"/>
      <c r="M52" s="254"/>
      <c r="N52" s="254"/>
    </row>
    <row r="53" customFormat="false" ht="66.75" hidden="false" customHeight="true" outlineLevel="0" collapsed="false">
      <c r="A53" s="229"/>
      <c r="B53" s="229"/>
      <c r="C53" s="229"/>
      <c r="D53" s="229"/>
      <c r="E53" s="229"/>
      <c r="F53" s="255"/>
      <c r="G53" s="255"/>
      <c r="H53" s="256"/>
      <c r="I53" s="256"/>
      <c r="J53" s="230"/>
      <c r="K53" s="230"/>
      <c r="L53" s="230"/>
      <c r="M53" s="230"/>
      <c r="N53" s="230"/>
    </row>
    <row r="54" customFormat="false" ht="24.75" hidden="false" customHeight="true" outlineLevel="0" collapsed="false">
      <c r="A54" s="229"/>
      <c r="B54" s="229"/>
      <c r="C54" s="229"/>
      <c r="D54" s="229"/>
      <c r="E54" s="229"/>
      <c r="F54" s="255"/>
      <c r="G54" s="255"/>
      <c r="H54" s="256"/>
      <c r="I54" s="256"/>
      <c r="J54" s="230"/>
      <c r="K54" s="230"/>
      <c r="L54" s="230"/>
      <c r="M54" s="230"/>
      <c r="N54" s="230"/>
    </row>
    <row r="55" customFormat="false" ht="13" hidden="false" customHeight="false" outlineLevel="0" collapsed="false">
      <c r="A55" s="206" t="s">
        <v>310</v>
      </c>
    </row>
    <row r="56" customFormat="false" ht="13" hidden="false" customHeight="false" outlineLevel="0" collapsed="false">
      <c r="A56" s="227" t="s">
        <v>295</v>
      </c>
      <c r="B56" s="227"/>
      <c r="C56" s="227"/>
      <c r="D56" s="227"/>
      <c r="E56" s="227"/>
      <c r="F56" s="236" t="s">
        <v>296</v>
      </c>
      <c r="G56" s="236"/>
      <c r="H56" s="237" t="s">
        <v>297</v>
      </c>
      <c r="I56" s="237"/>
      <c r="J56" s="237"/>
      <c r="K56" s="237"/>
      <c r="L56" s="237"/>
    </row>
    <row r="57" customFormat="false" ht="13.5" hidden="false" customHeight="true" outlineLevel="0" collapsed="false">
      <c r="A57" s="257"/>
      <c r="B57" s="257"/>
      <c r="C57" s="257"/>
      <c r="D57" s="257"/>
      <c r="E57" s="257"/>
      <c r="F57" s="258"/>
      <c r="G57" s="258"/>
      <c r="H57" s="235"/>
      <c r="I57" s="235"/>
      <c r="J57" s="235"/>
      <c r="K57" s="235"/>
      <c r="L57" s="235"/>
    </row>
    <row r="58" customFormat="false" ht="32.25" hidden="false" customHeight="true" outlineLevel="0" collapsed="false">
      <c r="A58" s="257"/>
      <c r="B58" s="257"/>
      <c r="C58" s="257"/>
      <c r="D58" s="257"/>
      <c r="E58" s="257"/>
      <c r="F58" s="258"/>
      <c r="G58" s="258"/>
      <c r="H58" s="235"/>
      <c r="I58" s="235"/>
      <c r="J58" s="235"/>
      <c r="K58" s="235"/>
      <c r="L58" s="235"/>
    </row>
    <row r="59" customFormat="false" ht="13" hidden="false" customHeight="false" outlineLevel="0" collapsed="false">
      <c r="A59" s="257"/>
      <c r="B59" s="257"/>
      <c r="C59" s="257"/>
      <c r="D59" s="257"/>
      <c r="E59" s="257"/>
      <c r="F59" s="258"/>
      <c r="G59" s="258"/>
      <c r="H59" s="235"/>
      <c r="I59" s="235"/>
      <c r="J59" s="235"/>
      <c r="K59" s="235"/>
      <c r="L59" s="235"/>
    </row>
  </sheetData>
  <mergeCells count="100">
    <mergeCell ref="B8:F8"/>
    <mergeCell ref="G8:K8"/>
    <mergeCell ref="B9:F9"/>
    <mergeCell ref="G9:K9"/>
    <mergeCell ref="B10:F10"/>
    <mergeCell ref="G10:K10"/>
    <mergeCell ref="B11:F11"/>
    <mergeCell ref="G11:K11"/>
    <mergeCell ref="B12:F12"/>
    <mergeCell ref="G12:K12"/>
    <mergeCell ref="B13:F13"/>
    <mergeCell ref="G13:K13"/>
    <mergeCell ref="B14:F14"/>
    <mergeCell ref="G14:K14"/>
    <mergeCell ref="B15:F15"/>
    <mergeCell ref="G15:K15"/>
    <mergeCell ref="B16:F16"/>
    <mergeCell ref="G16:K16"/>
    <mergeCell ref="B17:F17"/>
    <mergeCell ref="G17:K17"/>
    <mergeCell ref="B18:F18"/>
    <mergeCell ref="G18:K18"/>
    <mergeCell ref="B19:F19"/>
    <mergeCell ref="G19:K19"/>
    <mergeCell ref="B20:F20"/>
    <mergeCell ref="G20:K20"/>
    <mergeCell ref="B21:F21"/>
    <mergeCell ref="G21:K21"/>
    <mergeCell ref="B22:F22"/>
    <mergeCell ref="G22:K22"/>
    <mergeCell ref="A26:E26"/>
    <mergeCell ref="F26:J26"/>
    <mergeCell ref="A27:E27"/>
    <mergeCell ref="F27:J27"/>
    <mergeCell ref="A28:E28"/>
    <mergeCell ref="F28:J28"/>
    <mergeCell ref="A31:E31"/>
    <mergeCell ref="F31:J31"/>
    <mergeCell ref="A32:E32"/>
    <mergeCell ref="F32:J32"/>
    <mergeCell ref="A33:E33"/>
    <mergeCell ref="F33:J33"/>
    <mergeCell ref="A34:E34"/>
    <mergeCell ref="F34:J34"/>
    <mergeCell ref="A35:E35"/>
    <mergeCell ref="F35:J35"/>
    <mergeCell ref="A36:E36"/>
    <mergeCell ref="F36:J36"/>
    <mergeCell ref="A39:E39"/>
    <mergeCell ref="F39:G39"/>
    <mergeCell ref="H39:L39"/>
    <mergeCell ref="A40:E40"/>
    <mergeCell ref="F40:G40"/>
    <mergeCell ref="H40:L40"/>
    <mergeCell ref="A41:E41"/>
    <mergeCell ref="F41:G41"/>
    <mergeCell ref="H41:L41"/>
    <mergeCell ref="A42:E42"/>
    <mergeCell ref="F42:G42"/>
    <mergeCell ref="H42:L42"/>
    <mergeCell ref="A45:E45"/>
    <mergeCell ref="F45:G45"/>
    <mergeCell ref="H45:L45"/>
    <mergeCell ref="A46:E46"/>
    <mergeCell ref="F46:G46"/>
    <mergeCell ref="H46:L46"/>
    <mergeCell ref="A47:E47"/>
    <mergeCell ref="F47:G47"/>
    <mergeCell ref="H47:L47"/>
    <mergeCell ref="A48:E48"/>
    <mergeCell ref="F48:G48"/>
    <mergeCell ref="H48:L48"/>
    <mergeCell ref="A51:E51"/>
    <mergeCell ref="F51:G51"/>
    <mergeCell ref="H51:I51"/>
    <mergeCell ref="J51:N51"/>
    <mergeCell ref="A52:E52"/>
    <mergeCell ref="F52:G52"/>
    <mergeCell ref="H52:I52"/>
    <mergeCell ref="J52:N52"/>
    <mergeCell ref="A53:E53"/>
    <mergeCell ref="F53:G53"/>
    <mergeCell ref="H53:I53"/>
    <mergeCell ref="J53:N53"/>
    <mergeCell ref="A54:E54"/>
    <mergeCell ref="F54:G54"/>
    <mergeCell ref="H54:I54"/>
    <mergeCell ref="J54:N54"/>
    <mergeCell ref="A56:E56"/>
    <mergeCell ref="F56:G56"/>
    <mergeCell ref="H56:L56"/>
    <mergeCell ref="A57:E57"/>
    <mergeCell ref="F57:G57"/>
    <mergeCell ref="H57:L57"/>
    <mergeCell ref="A58:E58"/>
    <mergeCell ref="F58:G58"/>
    <mergeCell ref="H58:L58"/>
    <mergeCell ref="A59:E59"/>
    <mergeCell ref="F59:G59"/>
    <mergeCell ref="H59:L59"/>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3"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B2:M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5" activeCellId="0" sqref="B25"/>
    </sheetView>
  </sheetViews>
  <sheetFormatPr defaultRowHeight="13" zeroHeight="false" outlineLevelRow="0" outlineLevelCol="0"/>
  <cols>
    <col collapsed="false" customWidth="true" hidden="false" outlineLevel="0" max="1025" min="1" style="0" width="8.83"/>
  </cols>
  <sheetData>
    <row r="2" customFormat="false" ht="13" hidden="false" customHeight="false" outlineLevel="0" collapsed="false">
      <c r="B2" s="206" t="s">
        <v>311</v>
      </c>
    </row>
    <row r="3" customFormat="false" ht="13" hidden="false" customHeight="false" outlineLevel="0" collapsed="false">
      <c r="B3" s="227" t="s">
        <v>312</v>
      </c>
      <c r="C3" s="227"/>
      <c r="D3" s="227"/>
      <c r="E3" s="227"/>
      <c r="F3" s="227"/>
      <c r="G3" s="236" t="s">
        <v>313</v>
      </c>
      <c r="H3" s="236"/>
      <c r="I3" s="237" t="s">
        <v>314</v>
      </c>
      <c r="J3" s="237"/>
      <c r="K3" s="237"/>
      <c r="L3" s="237"/>
      <c r="M3" s="237"/>
    </row>
    <row r="4" customFormat="false" ht="13" hidden="false" customHeight="false" outlineLevel="0" collapsed="false">
      <c r="B4" s="259"/>
      <c r="C4" s="259"/>
      <c r="D4" s="259"/>
      <c r="E4" s="259"/>
      <c r="F4" s="259"/>
      <c r="G4" s="260"/>
      <c r="H4" s="260"/>
      <c r="I4" s="261"/>
      <c r="J4" s="261"/>
      <c r="K4" s="261"/>
      <c r="L4" s="261"/>
      <c r="M4" s="261"/>
    </row>
    <row r="5" customFormat="false" ht="13" hidden="false" customHeight="false" outlineLevel="0" collapsed="false">
      <c r="B5" s="262"/>
      <c r="C5" s="262"/>
      <c r="D5" s="262"/>
      <c r="E5" s="262"/>
      <c r="F5" s="262"/>
      <c r="G5" s="263"/>
      <c r="H5" s="263"/>
      <c r="I5" s="261"/>
      <c r="J5" s="261"/>
      <c r="K5" s="261"/>
      <c r="L5" s="261"/>
      <c r="M5" s="261"/>
    </row>
    <row r="6" customFormat="false" ht="13" hidden="false" customHeight="false" outlineLevel="0" collapsed="false">
      <c r="B6" s="227" t="s">
        <v>315</v>
      </c>
      <c r="C6" s="227"/>
      <c r="D6" s="227"/>
      <c r="E6" s="227"/>
      <c r="F6" s="227"/>
      <c r="G6" s="236" t="s">
        <v>313</v>
      </c>
      <c r="H6" s="236"/>
      <c r="I6" s="237" t="s">
        <v>314</v>
      </c>
      <c r="J6" s="237"/>
      <c r="K6" s="237"/>
      <c r="L6" s="237"/>
      <c r="M6" s="237"/>
    </row>
    <row r="7" customFormat="false" ht="13" hidden="false" customHeight="false" outlineLevel="0" collapsed="false">
      <c r="B7" s="264"/>
      <c r="C7" s="264"/>
      <c r="D7" s="264"/>
      <c r="E7" s="264"/>
      <c r="F7" s="264"/>
      <c r="G7" s="265"/>
      <c r="H7" s="265"/>
      <c r="I7" s="266"/>
      <c r="J7" s="266"/>
      <c r="K7" s="266"/>
      <c r="L7" s="266"/>
      <c r="M7" s="266"/>
    </row>
    <row r="8" customFormat="false" ht="13" hidden="false" customHeight="false" outlineLevel="0" collapsed="false">
      <c r="B8" s="262"/>
      <c r="C8" s="262"/>
      <c r="D8" s="262"/>
      <c r="E8" s="262"/>
      <c r="F8" s="262"/>
      <c r="G8" s="267"/>
      <c r="H8" s="267"/>
      <c r="I8" s="268"/>
      <c r="J8" s="268"/>
      <c r="K8" s="268"/>
      <c r="L8" s="268"/>
      <c r="M8" s="268"/>
    </row>
    <row r="9" customFormat="false" ht="13" hidden="false" customHeight="false" outlineLevel="0" collapsed="false">
      <c r="B9" s="227" t="s">
        <v>316</v>
      </c>
      <c r="C9" s="227"/>
      <c r="D9" s="227"/>
      <c r="E9" s="227"/>
      <c r="F9" s="227"/>
      <c r="G9" s="236" t="s">
        <v>313</v>
      </c>
      <c r="H9" s="236"/>
      <c r="I9" s="237" t="s">
        <v>314</v>
      </c>
      <c r="J9" s="237"/>
      <c r="K9" s="237"/>
      <c r="L9" s="237"/>
      <c r="M9" s="237"/>
    </row>
    <row r="10" customFormat="false" ht="13" hidden="false" customHeight="false" outlineLevel="0" collapsed="false">
      <c r="B10" s="264"/>
      <c r="C10" s="264"/>
      <c r="D10" s="264"/>
      <c r="E10" s="264"/>
      <c r="F10" s="264"/>
      <c r="G10" s="265"/>
      <c r="H10" s="265"/>
      <c r="I10" s="266"/>
      <c r="J10" s="266"/>
      <c r="K10" s="266"/>
      <c r="L10" s="266"/>
      <c r="M10" s="266"/>
    </row>
    <row r="11" customFormat="false" ht="13" hidden="false" customHeight="false" outlineLevel="0" collapsed="false">
      <c r="B11" s="262"/>
      <c r="C11" s="262"/>
      <c r="D11" s="262"/>
      <c r="E11" s="262"/>
      <c r="F11" s="262"/>
      <c r="G11" s="267"/>
      <c r="H11" s="267"/>
      <c r="I11" s="268"/>
      <c r="J11" s="268"/>
      <c r="K11" s="268"/>
      <c r="L11" s="268"/>
      <c r="M11" s="268"/>
    </row>
    <row r="12" customFormat="false" ht="13" hidden="false" customHeight="false" outlineLevel="0" collapsed="false">
      <c r="B12" s="227" t="s">
        <v>317</v>
      </c>
      <c r="C12" s="227"/>
      <c r="D12" s="227"/>
      <c r="E12" s="227"/>
      <c r="F12" s="227"/>
      <c r="G12" s="236" t="s">
        <v>313</v>
      </c>
      <c r="H12" s="236"/>
      <c r="I12" s="237" t="s">
        <v>314</v>
      </c>
      <c r="J12" s="237"/>
      <c r="K12" s="237"/>
      <c r="L12" s="237"/>
      <c r="M12" s="237"/>
    </row>
    <row r="13" customFormat="false" ht="13" hidden="false" customHeight="false" outlineLevel="0" collapsed="false">
      <c r="B13" s="264"/>
      <c r="C13" s="264"/>
      <c r="D13" s="264"/>
      <c r="E13" s="264"/>
      <c r="F13" s="264"/>
      <c r="G13" s="265"/>
      <c r="H13" s="265"/>
      <c r="I13" s="266"/>
      <c r="J13" s="266"/>
      <c r="K13" s="266"/>
      <c r="L13" s="266"/>
      <c r="M13" s="266"/>
    </row>
    <row r="14" customFormat="false" ht="13" hidden="false" customHeight="false" outlineLevel="0" collapsed="false">
      <c r="B14" s="262"/>
      <c r="C14" s="262"/>
      <c r="D14" s="262"/>
      <c r="E14" s="262"/>
      <c r="F14" s="262"/>
      <c r="G14" s="267"/>
      <c r="H14" s="267"/>
      <c r="I14" s="268"/>
      <c r="J14" s="268"/>
      <c r="K14" s="268"/>
      <c r="L14" s="268"/>
      <c r="M14" s="268"/>
    </row>
    <row r="15" customFormat="false" ht="13" hidden="false" customHeight="false" outlineLevel="0" collapsed="false">
      <c r="B15" s="227" t="s">
        <v>318</v>
      </c>
      <c r="C15" s="227"/>
      <c r="D15" s="227"/>
      <c r="E15" s="227"/>
      <c r="F15" s="227"/>
      <c r="G15" s="236" t="s">
        <v>313</v>
      </c>
      <c r="H15" s="236"/>
      <c r="I15" s="237" t="s">
        <v>314</v>
      </c>
      <c r="J15" s="237"/>
      <c r="K15" s="237"/>
      <c r="L15" s="237"/>
      <c r="M15" s="237"/>
    </row>
    <row r="16" customFormat="false" ht="13" hidden="false" customHeight="false" outlineLevel="0" collapsed="false">
      <c r="B16" s="264"/>
      <c r="C16" s="264"/>
      <c r="D16" s="264"/>
      <c r="E16" s="264"/>
      <c r="F16" s="264"/>
      <c r="G16" s="265"/>
      <c r="H16" s="265"/>
      <c r="I16" s="266"/>
      <c r="J16" s="266"/>
      <c r="K16" s="266"/>
      <c r="L16" s="266"/>
      <c r="M16" s="266"/>
    </row>
    <row r="17" customFormat="false" ht="13" hidden="false" customHeight="false" outlineLevel="0" collapsed="false">
      <c r="B17" s="262"/>
      <c r="C17" s="262"/>
      <c r="D17" s="262"/>
      <c r="E17" s="262"/>
      <c r="F17" s="262"/>
      <c r="G17" s="267"/>
      <c r="H17" s="267"/>
      <c r="I17" s="268"/>
      <c r="J17" s="268"/>
      <c r="K17" s="268"/>
      <c r="L17" s="268"/>
      <c r="M17" s="268"/>
    </row>
    <row r="18" customFormat="false" ht="13" hidden="false" customHeight="false" outlineLevel="0" collapsed="false">
      <c r="B18" s="227" t="s">
        <v>319</v>
      </c>
      <c r="C18" s="227"/>
      <c r="D18" s="227"/>
      <c r="E18" s="227"/>
      <c r="F18" s="227"/>
      <c r="G18" s="236" t="s">
        <v>313</v>
      </c>
      <c r="H18" s="236"/>
      <c r="I18" s="237" t="s">
        <v>314</v>
      </c>
      <c r="J18" s="237"/>
      <c r="K18" s="237"/>
      <c r="L18" s="237"/>
      <c r="M18" s="237"/>
    </row>
    <row r="19" customFormat="false" ht="13" hidden="false" customHeight="false" outlineLevel="0" collapsed="false">
      <c r="B19" s="264"/>
      <c r="C19" s="264"/>
      <c r="D19" s="264"/>
      <c r="E19" s="264"/>
      <c r="F19" s="264"/>
      <c r="G19" s="265"/>
      <c r="H19" s="265"/>
      <c r="I19" s="266"/>
      <c r="J19" s="266"/>
      <c r="K19" s="266"/>
      <c r="L19" s="266"/>
      <c r="M19" s="266"/>
    </row>
    <row r="20" customFormat="false" ht="13" hidden="false" customHeight="false" outlineLevel="0" collapsed="false">
      <c r="B20" s="262"/>
      <c r="C20" s="262"/>
      <c r="D20" s="262"/>
      <c r="E20" s="262"/>
      <c r="F20" s="262"/>
      <c r="G20" s="267"/>
      <c r="H20" s="267"/>
      <c r="I20" s="268"/>
      <c r="J20" s="268"/>
      <c r="K20" s="268"/>
      <c r="L20" s="268"/>
      <c r="M20" s="268"/>
    </row>
    <row r="21" customFormat="false" ht="13" hidden="false" customHeight="false" outlineLevel="0" collapsed="false">
      <c r="B21" s="227" t="s">
        <v>320</v>
      </c>
      <c r="C21" s="227"/>
      <c r="D21" s="227"/>
      <c r="E21" s="227"/>
      <c r="F21" s="227"/>
      <c r="G21" s="236" t="s">
        <v>313</v>
      </c>
      <c r="H21" s="236"/>
      <c r="I21" s="237" t="s">
        <v>314</v>
      </c>
      <c r="J21" s="237"/>
      <c r="K21" s="237"/>
      <c r="L21" s="237"/>
      <c r="M21" s="237"/>
    </row>
    <row r="22" customFormat="false" ht="13" hidden="false" customHeight="false" outlineLevel="0" collapsed="false">
      <c r="B22" s="264"/>
      <c r="C22" s="264"/>
      <c r="D22" s="264"/>
      <c r="E22" s="264"/>
      <c r="F22" s="264"/>
      <c r="G22" s="265"/>
      <c r="H22" s="265"/>
      <c r="I22" s="266"/>
      <c r="J22" s="266"/>
      <c r="K22" s="266"/>
      <c r="L22" s="266"/>
      <c r="M22" s="266"/>
    </row>
    <row r="23" customFormat="false" ht="13" hidden="false" customHeight="false" outlineLevel="0" collapsed="false">
      <c r="B23" s="262"/>
      <c r="C23" s="262"/>
      <c r="D23" s="262"/>
      <c r="E23" s="262"/>
      <c r="F23" s="262"/>
      <c r="G23" s="267"/>
      <c r="H23" s="267"/>
      <c r="I23" s="268"/>
      <c r="J23" s="268"/>
      <c r="K23" s="268"/>
      <c r="L23" s="268"/>
      <c r="M23" s="268"/>
    </row>
    <row r="24" customFormat="false" ht="13" hidden="false" customHeight="false" outlineLevel="0" collapsed="false">
      <c r="B24" s="227" t="s">
        <v>321</v>
      </c>
      <c r="C24" s="227"/>
      <c r="D24" s="227"/>
      <c r="E24" s="227"/>
      <c r="F24" s="227"/>
      <c r="G24" s="236" t="s">
        <v>313</v>
      </c>
      <c r="H24" s="236"/>
      <c r="I24" s="237" t="s">
        <v>314</v>
      </c>
      <c r="J24" s="237"/>
      <c r="K24" s="237"/>
      <c r="L24" s="237"/>
      <c r="M24" s="237"/>
    </row>
    <row r="25" customFormat="false" ht="13" hidden="false" customHeight="false" outlineLevel="0" collapsed="false">
      <c r="B25" s="264"/>
      <c r="C25" s="264"/>
      <c r="D25" s="264"/>
      <c r="E25" s="264"/>
      <c r="F25" s="264"/>
      <c r="G25" s="265"/>
      <c r="H25" s="265"/>
      <c r="I25" s="266"/>
      <c r="J25" s="266"/>
      <c r="K25" s="266"/>
      <c r="L25" s="266"/>
      <c r="M25" s="266"/>
    </row>
    <row r="26" customFormat="false" ht="13" hidden="false" customHeight="false" outlineLevel="0" collapsed="false">
      <c r="B26" s="262"/>
      <c r="C26" s="262"/>
      <c r="D26" s="262"/>
      <c r="E26" s="262"/>
      <c r="F26" s="262"/>
      <c r="G26" s="267"/>
      <c r="H26" s="267"/>
      <c r="I26" s="268"/>
      <c r="J26" s="268"/>
      <c r="K26" s="268"/>
      <c r="L26" s="268"/>
      <c r="M26" s="268"/>
    </row>
    <row r="27" customFormat="false" ht="13" hidden="false" customHeight="false" outlineLevel="0" collapsed="false">
      <c r="B27" s="227" t="s">
        <v>322</v>
      </c>
      <c r="C27" s="227"/>
      <c r="D27" s="227"/>
      <c r="E27" s="227"/>
      <c r="F27" s="227"/>
      <c r="G27" s="236" t="s">
        <v>313</v>
      </c>
      <c r="H27" s="236"/>
      <c r="I27" s="237" t="s">
        <v>314</v>
      </c>
      <c r="J27" s="237"/>
      <c r="K27" s="237"/>
      <c r="L27" s="237"/>
      <c r="M27" s="237"/>
    </row>
    <row r="28" customFormat="false" ht="13" hidden="false" customHeight="false" outlineLevel="0" collapsed="false">
      <c r="B28" s="264"/>
      <c r="C28" s="264"/>
      <c r="D28" s="264"/>
      <c r="E28" s="264"/>
      <c r="F28" s="264"/>
      <c r="G28" s="265"/>
      <c r="H28" s="265"/>
      <c r="I28" s="266"/>
      <c r="J28" s="266"/>
      <c r="K28" s="266"/>
      <c r="L28" s="266"/>
      <c r="M28" s="266"/>
    </row>
    <row r="29" customFormat="false" ht="13" hidden="false" customHeight="false" outlineLevel="0" collapsed="false">
      <c r="B29" s="262"/>
      <c r="C29" s="262"/>
      <c r="D29" s="262"/>
      <c r="E29" s="262"/>
      <c r="F29" s="262"/>
      <c r="G29" s="267"/>
      <c r="H29" s="267"/>
      <c r="I29" s="268"/>
      <c r="J29" s="268"/>
      <c r="K29" s="268"/>
      <c r="L29" s="268"/>
      <c r="M29" s="268"/>
    </row>
  </sheetData>
  <mergeCells count="81">
    <mergeCell ref="B3:F3"/>
    <mergeCell ref="G3:H3"/>
    <mergeCell ref="I3:M3"/>
    <mergeCell ref="B4:F4"/>
    <mergeCell ref="G4:H4"/>
    <mergeCell ref="I4:M4"/>
    <mergeCell ref="B5:F5"/>
    <mergeCell ref="G5:H5"/>
    <mergeCell ref="I5:M5"/>
    <mergeCell ref="B6:F6"/>
    <mergeCell ref="G6:H6"/>
    <mergeCell ref="I6:M6"/>
    <mergeCell ref="B7:F7"/>
    <mergeCell ref="G7:H7"/>
    <mergeCell ref="I7:M7"/>
    <mergeCell ref="B8:F8"/>
    <mergeCell ref="G8:H8"/>
    <mergeCell ref="I8:M8"/>
    <mergeCell ref="B9:F9"/>
    <mergeCell ref="G9:H9"/>
    <mergeCell ref="I9:M9"/>
    <mergeCell ref="B10:F10"/>
    <mergeCell ref="G10:H10"/>
    <mergeCell ref="I10:M10"/>
    <mergeCell ref="B11:F11"/>
    <mergeCell ref="G11:H11"/>
    <mergeCell ref="I11:M11"/>
    <mergeCell ref="B12:F12"/>
    <mergeCell ref="G12:H12"/>
    <mergeCell ref="I12:M12"/>
    <mergeCell ref="B13:F13"/>
    <mergeCell ref="G13:H13"/>
    <mergeCell ref="I13:M13"/>
    <mergeCell ref="B14:F14"/>
    <mergeCell ref="G14:H14"/>
    <mergeCell ref="I14:M14"/>
    <mergeCell ref="B15:F15"/>
    <mergeCell ref="G15:H15"/>
    <mergeCell ref="I15:M15"/>
    <mergeCell ref="B16:F16"/>
    <mergeCell ref="G16:H16"/>
    <mergeCell ref="I16:M16"/>
    <mergeCell ref="B17:F17"/>
    <mergeCell ref="G17:H17"/>
    <mergeCell ref="I17:M17"/>
    <mergeCell ref="B18:F18"/>
    <mergeCell ref="G18:H18"/>
    <mergeCell ref="I18:M18"/>
    <mergeCell ref="B19:F19"/>
    <mergeCell ref="G19:H19"/>
    <mergeCell ref="I19:M19"/>
    <mergeCell ref="B20:F20"/>
    <mergeCell ref="G20:H20"/>
    <mergeCell ref="I20:M20"/>
    <mergeCell ref="B21:F21"/>
    <mergeCell ref="G21:H21"/>
    <mergeCell ref="I21:M21"/>
    <mergeCell ref="B22:F22"/>
    <mergeCell ref="G22:H22"/>
    <mergeCell ref="I22:M22"/>
    <mergeCell ref="B23:F23"/>
    <mergeCell ref="G23:H23"/>
    <mergeCell ref="I23:M23"/>
    <mergeCell ref="B24:F24"/>
    <mergeCell ref="G24:H24"/>
    <mergeCell ref="I24:M24"/>
    <mergeCell ref="B25:F25"/>
    <mergeCell ref="G25:H25"/>
    <mergeCell ref="I25:M25"/>
    <mergeCell ref="B26:F26"/>
    <mergeCell ref="G26:H26"/>
    <mergeCell ref="I26:M26"/>
    <mergeCell ref="B27:F27"/>
    <mergeCell ref="G27:H27"/>
    <mergeCell ref="I27:M27"/>
    <mergeCell ref="B28:F28"/>
    <mergeCell ref="G28:H28"/>
    <mergeCell ref="I28:M28"/>
    <mergeCell ref="B29:F29"/>
    <mergeCell ref="G29:H29"/>
    <mergeCell ref="I29:M29"/>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LibreOffice/5.3.6.1$Linux_X86_64 LibreOffice_project/30$Build-1</Application>
  <Company>Queen Mary High Energy Physics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2006-07-17T09:56:01Z</dcterms:created>
  <dc:creator>Steve Lloyd</dc:creator>
  <dc:description/>
  <dc:language>en-GB</dc:language>
  <cp:lastModifiedBy/>
  <cp:lastPrinted>2016-05-25T14:55:34Z</cp:lastPrinted>
  <dcterms:modified xsi:type="dcterms:W3CDTF">2019-07-03T15:40:51Z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Queen Mary High Energy Physics</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