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files\excel\PMB\Quarterly Reports\2018\Q4\"/>
    </mc:Choice>
  </mc:AlternateContent>
  <bookViews>
    <workbookView xWindow="0" yWindow="0" windowWidth="18345" windowHeight="12795" tabRatio="500"/>
  </bookViews>
  <sheets>
    <sheet name="Metrics" sheetId="4" r:id="rId1"/>
    <sheet name="Milestones" sheetId="5" r:id="rId2"/>
    <sheet name="Manpower Q117" sheetId="6" r:id="rId3"/>
    <sheet name="Manpower Q217" sheetId="7" r:id="rId4"/>
    <sheet name="Manpower Q317" sheetId="8" r:id="rId5"/>
    <sheet name="Manpower Q417" sheetId="9" r:id="rId6"/>
    <sheet name="Manpower Q118" sheetId="10" r:id="rId7"/>
    <sheet name="Manpower Q218" sheetId="11" r:id="rId8"/>
    <sheet name="Manpower Q318" sheetId="12" r:id="rId9"/>
    <sheet name="Manpower Q418" sheetId="13" r:id="rId10"/>
    <sheet name="Narrative Q117" sheetId="14" r:id="rId11"/>
    <sheet name="Narrative Q217" sheetId="15" r:id="rId12"/>
    <sheet name="Narrative Q317" sheetId="16" r:id="rId13"/>
    <sheet name="Narrative Q417" sheetId="17" r:id="rId14"/>
    <sheet name="Narrative Q118" sheetId="18" r:id="rId15"/>
    <sheet name="Narrative Q218" sheetId="19" r:id="rId16"/>
    <sheet name="Narrative Q318" sheetId="20" r:id="rId17"/>
    <sheet name="Narrative Q418" sheetId="21" r:id="rId18"/>
    <sheet name="EVAL" sheetId="22" r:id="rId19"/>
  </sheets>
  <definedNames>
    <definedName name="_xlnm._FilterDatabase" localSheetId="0">Metrics!$A$8:$K$40</definedName>
    <definedName name="_xlnm._FilterDatabase" localSheetId="1">Milestones!$8:$30</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5" i="21" l="1"/>
  <c r="B4" i="21"/>
  <c r="B3" i="21"/>
  <c r="B5" i="20"/>
  <c r="B4" i="20"/>
  <c r="B3" i="20"/>
  <c r="B5" i="19"/>
  <c r="B4" i="19"/>
  <c r="B3" i="19"/>
  <c r="B5" i="18"/>
  <c r="B4" i="18"/>
  <c r="B3" i="18"/>
  <c r="B5" i="17"/>
  <c r="B4" i="17"/>
  <c r="B3" i="17"/>
  <c r="B5" i="16"/>
  <c r="B4" i="16"/>
  <c r="B3" i="16"/>
  <c r="B5" i="15"/>
  <c r="B4" i="15"/>
  <c r="B3" i="15"/>
  <c r="B5" i="14"/>
  <c r="B4" i="14"/>
  <c r="B3" i="14"/>
  <c r="I23" i="13"/>
  <c r="H23" i="13"/>
  <c r="G23" i="13"/>
  <c r="F23" i="13"/>
  <c r="E23" i="13"/>
  <c r="D23" i="13"/>
  <c r="M22" i="13"/>
  <c r="L22" i="13"/>
  <c r="M21" i="13"/>
  <c r="L21" i="13"/>
  <c r="I16" i="13"/>
  <c r="H16" i="13"/>
  <c r="G16" i="13"/>
  <c r="R12" i="13"/>
  <c r="M15" i="13"/>
  <c r="L15" i="13"/>
  <c r="M14" i="13"/>
  <c r="L14" i="13"/>
  <c r="M13" i="13"/>
  <c r="L13" i="13"/>
  <c r="M12" i="13"/>
  <c r="L12" i="13"/>
  <c r="M11" i="13"/>
  <c r="L11" i="13"/>
  <c r="M10" i="13"/>
  <c r="L10" i="13"/>
  <c r="O8" i="13"/>
  <c r="B4" i="13"/>
  <c r="I23" i="12"/>
  <c r="H23" i="12"/>
  <c r="G23" i="12"/>
  <c r="F23" i="12"/>
  <c r="E23" i="12"/>
  <c r="D23" i="12"/>
  <c r="M22" i="12"/>
  <c r="L22" i="12"/>
  <c r="M21" i="12"/>
  <c r="L21" i="12"/>
  <c r="I16" i="12"/>
  <c r="H16" i="12"/>
  <c r="G16" i="12"/>
  <c r="F16" i="12"/>
  <c r="E16" i="12"/>
  <c r="D16" i="12"/>
  <c r="M15" i="12"/>
  <c r="L15" i="12"/>
  <c r="M14" i="12"/>
  <c r="L14" i="12"/>
  <c r="M13" i="12"/>
  <c r="L13" i="12"/>
  <c r="M12" i="12"/>
  <c r="L12" i="12"/>
  <c r="M11" i="12"/>
  <c r="L11" i="12"/>
  <c r="M10" i="12"/>
  <c r="L10" i="12"/>
  <c r="O8" i="12"/>
  <c r="B4" i="12"/>
  <c r="I23" i="11"/>
  <c r="H23" i="11"/>
  <c r="G23" i="11"/>
  <c r="F23" i="11"/>
  <c r="E23" i="11"/>
  <c r="D23" i="11"/>
  <c r="M22" i="11"/>
  <c r="L22" i="11"/>
  <c r="M21" i="11"/>
  <c r="L21" i="11"/>
  <c r="I16" i="11"/>
  <c r="H16" i="11"/>
  <c r="G16" i="11"/>
  <c r="F16" i="11"/>
  <c r="E16" i="11"/>
  <c r="D16" i="11"/>
  <c r="R12" i="11" s="1"/>
  <c r="M15" i="11"/>
  <c r="L15" i="11"/>
  <c r="M14" i="11"/>
  <c r="L14" i="11"/>
  <c r="M13" i="11"/>
  <c r="L13" i="11"/>
  <c r="M12" i="11"/>
  <c r="L12" i="11"/>
  <c r="M11" i="11"/>
  <c r="L11" i="11"/>
  <c r="M10" i="11"/>
  <c r="L10" i="11"/>
  <c r="O8" i="11"/>
  <c r="B4" i="11"/>
  <c r="I23" i="10"/>
  <c r="H23" i="10"/>
  <c r="G23" i="10"/>
  <c r="F23" i="10"/>
  <c r="E23" i="10"/>
  <c r="D23" i="10"/>
  <c r="M22" i="10"/>
  <c r="L22" i="10"/>
  <c r="M21" i="10"/>
  <c r="L21" i="10"/>
  <c r="I16" i="10"/>
  <c r="H16" i="10"/>
  <c r="G16" i="10"/>
  <c r="F16" i="10"/>
  <c r="E16" i="10"/>
  <c r="D16" i="10"/>
  <c r="R12" i="10" s="1"/>
  <c r="M15" i="10"/>
  <c r="L15" i="10"/>
  <c r="M14" i="10"/>
  <c r="L14" i="10"/>
  <c r="M13" i="10"/>
  <c r="L13" i="10"/>
  <c r="M12" i="10"/>
  <c r="L12" i="10"/>
  <c r="M11" i="10"/>
  <c r="L11" i="10"/>
  <c r="M10" i="10"/>
  <c r="L10" i="10"/>
  <c r="O8" i="10"/>
  <c r="B4" i="10"/>
  <c r="I23" i="9"/>
  <c r="H23" i="9"/>
  <c r="G23" i="9"/>
  <c r="F23" i="9"/>
  <c r="E23" i="9"/>
  <c r="D23" i="9"/>
  <c r="M22" i="9"/>
  <c r="L22" i="9"/>
  <c r="M21" i="9"/>
  <c r="L21" i="9"/>
  <c r="I16" i="9"/>
  <c r="H16" i="9"/>
  <c r="G16" i="9"/>
  <c r="F16" i="9"/>
  <c r="E16" i="9"/>
  <c r="D16" i="9"/>
  <c r="M15" i="9"/>
  <c r="L15" i="9"/>
  <c r="M14" i="9"/>
  <c r="L14" i="9"/>
  <c r="M13" i="9"/>
  <c r="L13" i="9"/>
  <c r="M12" i="9"/>
  <c r="L12" i="9"/>
  <c r="M11" i="9"/>
  <c r="L11" i="9"/>
  <c r="M10" i="9"/>
  <c r="L10" i="9"/>
  <c r="O8" i="9"/>
  <c r="B4" i="9"/>
  <c r="I23" i="8"/>
  <c r="H23" i="8"/>
  <c r="G23" i="8"/>
  <c r="F23" i="8"/>
  <c r="E23" i="8"/>
  <c r="D23" i="8"/>
  <c r="M22" i="8"/>
  <c r="L22" i="8"/>
  <c r="M21" i="8"/>
  <c r="L21" i="8"/>
  <c r="I16" i="8"/>
  <c r="H16" i="8"/>
  <c r="G16" i="8"/>
  <c r="F16" i="8"/>
  <c r="E16" i="8"/>
  <c r="D16" i="8"/>
  <c r="R12" i="8" s="1"/>
  <c r="M15" i="8"/>
  <c r="L15" i="8"/>
  <c r="M14" i="8"/>
  <c r="L14" i="8"/>
  <c r="M13" i="8"/>
  <c r="L13" i="8"/>
  <c r="M12" i="8"/>
  <c r="L12" i="8"/>
  <c r="M11" i="8"/>
  <c r="L11" i="8"/>
  <c r="M10" i="8"/>
  <c r="L10" i="8"/>
  <c r="O8" i="8"/>
  <c r="B4" i="8"/>
  <c r="I23" i="7"/>
  <c r="H23" i="7"/>
  <c r="G23" i="7"/>
  <c r="F23" i="7"/>
  <c r="E23" i="7"/>
  <c r="D23" i="7"/>
  <c r="M22" i="7"/>
  <c r="L22" i="7"/>
  <c r="M21" i="7"/>
  <c r="L21" i="7"/>
  <c r="I16" i="7"/>
  <c r="H16" i="7"/>
  <c r="G16" i="7"/>
  <c r="F16" i="7"/>
  <c r="E16" i="7"/>
  <c r="D16" i="7"/>
  <c r="R12" i="7" s="1"/>
  <c r="M15" i="7"/>
  <c r="L15" i="7"/>
  <c r="M14" i="7"/>
  <c r="L14" i="7"/>
  <c r="M13" i="7"/>
  <c r="L13" i="7"/>
  <c r="M12" i="7"/>
  <c r="L12" i="7"/>
  <c r="M11" i="7"/>
  <c r="L11" i="7"/>
  <c r="M10" i="7"/>
  <c r="L10" i="7"/>
  <c r="O8" i="7"/>
  <c r="B4" i="7"/>
  <c r="I23" i="6"/>
  <c r="H23" i="6"/>
  <c r="G23" i="6"/>
  <c r="F23" i="6"/>
  <c r="E23" i="6"/>
  <c r="D23" i="6"/>
  <c r="M22" i="6"/>
  <c r="L22" i="6"/>
  <c r="M21" i="6"/>
  <c r="L21" i="6"/>
  <c r="I16" i="6"/>
  <c r="H16" i="6"/>
  <c r="G16" i="6"/>
  <c r="F16" i="6"/>
  <c r="E16" i="6"/>
  <c r="D16" i="6"/>
  <c r="R12" i="6" s="1"/>
  <c r="M15" i="6"/>
  <c r="L15" i="6"/>
  <c r="M14" i="6"/>
  <c r="L14" i="6"/>
  <c r="M13" i="6"/>
  <c r="L13" i="6"/>
  <c r="M12" i="6"/>
  <c r="L12" i="6"/>
  <c r="M11" i="6"/>
  <c r="L11" i="6"/>
  <c r="M10" i="6"/>
  <c r="L10" i="6"/>
  <c r="O8" i="6"/>
  <c r="B4" i="6"/>
  <c r="B5" i="5"/>
  <c r="B4" i="5"/>
  <c r="B3" i="5"/>
  <c r="L40" i="4"/>
  <c r="K40" i="4"/>
  <c r="J40" i="4"/>
  <c r="I40" i="4"/>
  <c r="H40" i="4"/>
  <c r="G40" i="4"/>
  <c r="F40" i="4"/>
  <c r="M39" i="4"/>
  <c r="L39" i="4"/>
  <c r="K39" i="4"/>
  <c r="J39" i="4"/>
  <c r="I39" i="4"/>
  <c r="G39" i="4"/>
  <c r="M38" i="4"/>
  <c r="L38" i="4"/>
  <c r="K38" i="4"/>
  <c r="J38" i="4"/>
  <c r="I38" i="4"/>
  <c r="H38" i="4"/>
  <c r="G38" i="4"/>
  <c r="M37" i="4"/>
  <c r="L37" i="4"/>
  <c r="K37" i="4"/>
  <c r="J37" i="4"/>
  <c r="I37" i="4"/>
  <c r="H37" i="4"/>
  <c r="G37" i="4"/>
  <c r="M36" i="4"/>
  <c r="L36" i="4"/>
  <c r="K36" i="4"/>
  <c r="J36" i="4"/>
  <c r="I36" i="4"/>
  <c r="H36" i="4"/>
  <c r="G36" i="4"/>
  <c r="L35" i="4"/>
  <c r="K35" i="4"/>
  <c r="J35" i="4"/>
  <c r="I35" i="4"/>
  <c r="H35" i="4"/>
  <c r="G35" i="4"/>
  <c r="L34" i="4"/>
  <c r="K34" i="4"/>
  <c r="J34" i="4"/>
  <c r="I34" i="4"/>
  <c r="H34" i="4"/>
  <c r="G34" i="4"/>
  <c r="M33" i="4"/>
  <c r="L33" i="4"/>
  <c r="K33" i="4"/>
  <c r="J33" i="4"/>
  <c r="I33" i="4"/>
  <c r="H33" i="4"/>
  <c r="G33" i="4"/>
  <c r="M32" i="4"/>
  <c r="L32" i="4"/>
  <c r="K32" i="4"/>
  <c r="J32" i="4"/>
  <c r="I32" i="4"/>
  <c r="H32" i="4"/>
  <c r="G32" i="4"/>
  <c r="L31" i="4"/>
  <c r="K31" i="4"/>
  <c r="J31" i="4"/>
  <c r="I31" i="4"/>
  <c r="H31" i="4"/>
  <c r="G31" i="4"/>
  <c r="M30" i="4"/>
  <c r="L30" i="4"/>
  <c r="K30" i="4"/>
  <c r="J30" i="4"/>
  <c r="I30" i="4"/>
  <c r="H30" i="4"/>
  <c r="G30" i="4"/>
  <c r="L28" i="4"/>
  <c r="K28" i="4"/>
  <c r="J28" i="4"/>
  <c r="I28" i="4"/>
  <c r="H28" i="4"/>
  <c r="G28" i="4"/>
  <c r="M27" i="4"/>
  <c r="L27" i="4"/>
  <c r="K27" i="4"/>
  <c r="J27" i="4"/>
  <c r="I27" i="4"/>
  <c r="H27" i="4"/>
  <c r="G27" i="4"/>
  <c r="L26" i="4"/>
  <c r="K26" i="4"/>
  <c r="J26" i="4"/>
  <c r="I26" i="4"/>
  <c r="H26" i="4"/>
  <c r="G26" i="4"/>
  <c r="L25" i="4"/>
  <c r="K25" i="4"/>
  <c r="J25" i="4"/>
  <c r="I25" i="4"/>
  <c r="H25" i="4"/>
  <c r="G25" i="4"/>
  <c r="L24" i="4"/>
  <c r="K24" i="4"/>
  <c r="J24" i="4"/>
  <c r="I24" i="4"/>
  <c r="H24" i="4"/>
  <c r="G24" i="4"/>
  <c r="L23" i="4"/>
  <c r="K23" i="4"/>
  <c r="J23" i="4"/>
  <c r="I23" i="4"/>
  <c r="H23" i="4"/>
  <c r="G23" i="4"/>
  <c r="L22" i="4"/>
  <c r="K22" i="4"/>
  <c r="J22" i="4"/>
  <c r="I22" i="4"/>
  <c r="H22" i="4"/>
  <c r="G22" i="4"/>
  <c r="L21" i="4"/>
  <c r="K21" i="4"/>
  <c r="J21" i="4"/>
  <c r="I21" i="4"/>
  <c r="H21" i="4"/>
  <c r="G21" i="4"/>
  <c r="L20" i="4"/>
  <c r="K20" i="4"/>
  <c r="J20" i="4"/>
  <c r="I20" i="4"/>
  <c r="G20" i="4"/>
  <c r="L19" i="4"/>
  <c r="K19" i="4"/>
  <c r="J19" i="4"/>
  <c r="I19" i="4"/>
  <c r="H19" i="4"/>
  <c r="G19" i="4"/>
  <c r="L18" i="4"/>
  <c r="K18" i="4"/>
  <c r="J18" i="4"/>
  <c r="I18" i="4"/>
  <c r="H18" i="4"/>
  <c r="G18" i="4"/>
  <c r="L17" i="4"/>
  <c r="K17" i="4"/>
  <c r="J17" i="4"/>
  <c r="I17" i="4"/>
  <c r="G17" i="4"/>
  <c r="M15" i="4"/>
  <c r="M10" i="4"/>
  <c r="L10" i="4"/>
  <c r="K10" i="4"/>
  <c r="J10" i="4"/>
  <c r="I10" i="4"/>
  <c r="H10" i="4"/>
  <c r="G10" i="4"/>
  <c r="M9" i="4"/>
  <c r="L9" i="4"/>
  <c r="K9" i="4"/>
  <c r="J9" i="4"/>
  <c r="I9" i="4"/>
  <c r="G9" i="4"/>
  <c r="R12" i="9" l="1"/>
  <c r="R12" i="12"/>
</calcChain>
</file>

<file path=xl/comments1.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2.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3.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4.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5.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6.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7.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comments8.xml><?xml version="1.0" encoding="utf-8"?>
<comments xmlns="http://schemas.openxmlformats.org/spreadsheetml/2006/main">
  <authors>
    <author/>
  </authors>
  <commentList>
    <comment ref="B21" authorId="0" shapeId="0">
      <text>
        <r>
          <rPr>
            <b/>
            <sz val="9"/>
            <color rgb="FF000000"/>
            <rFont val="Tahoma"/>
            <family val="2"/>
            <charset val="1"/>
          </rPr>
          <t xml:space="preserve">gronbech:
</t>
        </r>
        <r>
          <rPr>
            <sz val="9"/>
            <color rgb="FF000000"/>
            <rFont val="Tahoma"/>
            <family val="2"/>
            <charset val="1"/>
          </rPr>
          <t>expect 0.7FTE</t>
        </r>
      </text>
    </comment>
    <comment ref="B22" authorId="0" shapeId="0">
      <text>
        <r>
          <rPr>
            <b/>
            <sz val="9"/>
            <color rgb="FF000000"/>
            <rFont val="Tahoma"/>
            <family val="2"/>
            <charset val="1"/>
          </rPr>
          <t xml:space="preserve">gronbech:
</t>
        </r>
        <r>
          <rPr>
            <sz val="9"/>
            <color rgb="FF000000"/>
            <rFont val="Tahoma"/>
            <family val="2"/>
            <charset val="1"/>
          </rPr>
          <t>Expect 0.3FTE</t>
        </r>
      </text>
    </comment>
  </commentList>
</comments>
</file>

<file path=xl/sharedStrings.xml><?xml version="1.0" encoding="utf-8"?>
<sst xmlns="http://schemas.openxmlformats.org/spreadsheetml/2006/main" count="1490" uniqueCount="485">
  <si>
    <t>Total</t>
  </si>
  <si>
    <t>GridPP Quarterly Report</t>
  </si>
  <si>
    <t>OK</t>
  </si>
  <si>
    <t>Area</t>
  </si>
  <si>
    <t>Tier-1</t>
  </si>
  <si>
    <t>Close to target</t>
  </si>
  <si>
    <t>Quarter</t>
  </si>
  <si>
    <t>Q318</t>
  </si>
  <si>
    <t>Not OK</t>
  </si>
  <si>
    <t>Reported by</t>
  </si>
  <si>
    <t>Darren Moore</t>
  </si>
  <si>
    <t>Not yet able to be measured</t>
  </si>
  <si>
    <t>Suspended</t>
  </si>
  <si>
    <t>GridPP no.</t>
  </si>
  <si>
    <t>Tier-1 no.</t>
  </si>
  <si>
    <t>Description</t>
  </si>
  <si>
    <t>Source</t>
  </si>
  <si>
    <t>Owner</t>
  </si>
  <si>
    <t>Target</t>
  </si>
  <si>
    <t>Q117</t>
  </si>
  <si>
    <t>Q217</t>
  </si>
  <si>
    <t>Q317</t>
  </si>
  <si>
    <t>Q417</t>
  </si>
  <si>
    <t>Q118</t>
  </si>
  <si>
    <t>Q218</t>
  </si>
  <si>
    <t>Q418</t>
  </si>
  <si>
    <t>Comment Q117</t>
  </si>
  <si>
    <t>Comment Q217</t>
  </si>
  <si>
    <t>Comment Q317</t>
  </si>
  <si>
    <t>Comment Q417</t>
  </si>
  <si>
    <t>Comment Q118</t>
  </si>
  <si>
    <t>Comment Q218</t>
  </si>
  <si>
    <t>Comment Q318</t>
  </si>
  <si>
    <t>Comments Q418</t>
  </si>
  <si>
    <t>1.1.1</t>
  </si>
  <si>
    <t>1.2.7</t>
  </si>
  <si>
    <t>Fraction of WLCG MoU commitment for CPU 100 %</t>
  </si>
  <si>
    <t>Andrew Lahiff</t>
  </si>
  <si>
    <t>1.1.2</t>
  </si>
  <si>
    <t>1.6.3</t>
  </si>
  <si>
    <t>% met of GRIDPP T1-RB allocation for CPU 100 %</t>
  </si>
  <si>
    <t>1.1.3</t>
  </si>
  <si>
    <t>Availability of CE service 99 %</t>
  </si>
  <si>
    <t>Catalin Condurache</t>
  </si>
  <si>
    <t>1.1.4</t>
  </si>
  <si>
    <t>Number of Security Incidents 2 per year</t>
  </si>
  <si>
    <t>Gareth Smith</t>
  </si>
  <si>
    <t>1.1.5</t>
  </si>
  <si>
    <t xml:space="preserve"># level 3 incidents(newly entered or active) in disaster management system 0  </t>
  </si>
  <si>
    <t>Escalated problem LHCb had with Castor while running stipping/merging campain. Led to reverting LHCb Castor SRM upgrade.</t>
  </si>
  <si>
    <t>1.1.6</t>
  </si>
  <si>
    <t xml:space="preserve"># level 4 incidents (newly entered or active) in disaster management system 0  </t>
  </si>
  <si>
    <t>Andrew Sansum</t>
  </si>
  <si>
    <t>1.1.7</t>
  </si>
  <si>
    <t>Percentage of GRIDPP4 Staff in Post 93 %</t>
  </si>
  <si>
    <t>1.2.1</t>
  </si>
  <si>
    <t>1.2.8</t>
  </si>
  <si>
    <t>Fraction of WLCG MoU commitment for Disk 100 %</t>
  </si>
  <si>
    <t>1.2.2</t>
  </si>
  <si>
    <t>1.2.9</t>
  </si>
  <si>
    <t xml:space="preserve"> Fraction of WLCG MoU commitment for Tape 100 %</t>
  </si>
  <si>
    <t>There was a temporary shortage of tape during this quarter while we were sorting out a procurement of more tape media. During this time the free tape pool reduced and Atlas &amp; CMS deleted some files off tape for us to help.</t>
  </si>
  <si>
    <t>1.2.3</t>
  </si>
  <si>
    <t>1.6.1</t>
  </si>
  <si>
    <t>% met of GRIDPP T1RB Allocation for Tape   100 %</t>
  </si>
  <si>
    <t>See comment above for metric 1.2.2.</t>
  </si>
  <si>
    <t>1.2.4</t>
  </si>
  <si>
    <t>1.6.2</t>
  </si>
  <si>
    <t>% met of GRIDPP T1RB Allocation for Disk  100 %</t>
  </si>
  <si>
    <t>There has been some delay getting storage into Echo.</t>
  </si>
  <si>
    <t>1.2.5</t>
  </si>
  <si>
    <t>7.1.3</t>
  </si>
  <si>
    <t># Storage node failures leading to filesystem loss or damage</t>
  </si>
  <si>
    <t>Kashif Hafeez</t>
  </si>
  <si>
    <t>1.2.6</t>
  </si>
  <si>
    <t>7.1.4</t>
  </si>
  <si>
    <t>% Lost disk server hours due to hardware problems over deployed base</t>
  </si>
  <si>
    <t>7.3.1</t>
  </si>
  <si>
    <t xml:space="preserve">Damaged tapes/month, leading to data loss </t>
  </si>
  <si>
    <t>Tim Folkes</t>
  </si>
  <si>
    <t>6 ATLAS files lost</t>
  </si>
  <si>
    <t>5.1.2</t>
  </si>
  <si>
    <t>CASTOR SAM tests: ATLAS VO</t>
  </si>
  <si>
    <t>Metric calculation changed in 12Q1 Now harder</t>
  </si>
  <si>
    <t>Rob Appleyard</t>
  </si>
  <si>
    <t>There were several spells of poor test results for Talas. The first (early Feb) coincided with a tape recall exercise and tests time out. There were then two further spells of test failures (late Feb, early March). We identified that the Atlas Test was not specifying a space token on write and then (depending on what else was going on) the file was not found in later stages of the SRM test.</t>
  </si>
  <si>
    <t>There was a problem around to 30th April/1st May when one of the Atlas disks filled up and we failed tests consistently. There were also intermittent test failures before the Castor Atlas 2.1.16 upgrade which was done on the 25th May.</t>
  </si>
  <si>
    <t>In first part of quarter there were problems that appeared in the SRMs that were thought to be due to Castor performance issues. The merging of the small AtlasScratchDisk pool into a larger disk pool alleviated these. (See Narrative).</t>
  </si>
  <si>
    <t>Problem with Atlas Castor instance in January. There was a high rate of deletion requests. The back end stager database struggled to keep up with the total load. Found one of the tables in the Atlas stager Castor database was badly fragmented. During an overnight outage this table and the associated indexes was rebuilt and preformance restored.</t>
  </si>
  <si>
    <t>5.1.1</t>
  </si>
  <si>
    <t>CASTOR SAM tests: ALICE VO</t>
  </si>
  <si>
    <t>Missing ALICE-specific xroot component after Castor 2.1.15 upgrade led to several days of test failure (inlcuing a weekend).</t>
  </si>
  <si>
    <t>1.2.10</t>
  </si>
  <si>
    <t>5.1.3</t>
  </si>
  <si>
    <t>CASTOR SAM tests: CMS VO</t>
  </si>
  <si>
    <t>There have been sporadic failures of the CMS SAM tests against the SRMs (timeouts) throught this period. Effort was directed at Castor upgrades (SRM and then Castor itself to improve this).</t>
  </si>
  <si>
    <t>During this period we had a high level of failure of the CMS SRM SAM tests with timeout errors. There was also some specific test failures on top of this: 
9/10/11th April - Problems with CMS Castor (transfermanager); 
3rd May: glexec problem;  
14/15 May - problems writing into Castor CMS. 
24/25 June - test ailing with CMSDisk full.</t>
  </si>
  <si>
    <t>At the start of the quarter there was a high rate of SRM tests failures (timeouts) but in the middle of the quarter this improved - although we do not know why. (See narrative). The September figure was brought down by CMSDisk becoming full causing a very high rate of SRM test failures for a couple fo days.</t>
  </si>
  <si>
    <t>Availability brought down by CMSDisk in Castor becoming full over the 5/6 October.</t>
  </si>
  <si>
    <t>1.2.11</t>
  </si>
  <si>
    <t>5.1.4</t>
  </si>
  <si>
    <t>CASTOR SAM tests: LHCb VO</t>
  </si>
  <si>
    <t>Sporadic SRM test failures through the quarter. Some specific problems with the SRM led to more test failures on one or two days.</t>
  </si>
  <si>
    <t>Test failures dominated by problems in first part of quarter The causes are as detailed in the narrative section. (These led to the reversion of a previous SRM update and a problem with TURLs returned after the Castor upgrade.)</t>
  </si>
  <si>
    <t>Figure dominated by September availability at 88%. Problem with two disk servers added into Castor gave problems for SAM tests although LHCb did did not report problems. Also noted in Narrative section.</t>
  </si>
  <si>
    <t>1.2.12</t>
  </si>
  <si>
    <t>7.3.4</t>
  </si>
  <si>
    <t xml:space="preserve"> Reliability of tape robot 99 %</t>
  </si>
  <si>
    <t>1.3.1</t>
  </si>
  <si>
    <t>WLCG Service Availability Target (set lower by WLCG than MoU, taken from OPS availability) 97 %</t>
  </si>
  <si>
    <t>The OPS tests were failing in May and June because of the problems with the Castor Information Provider ("CIP")</t>
  </si>
  <si>
    <t>1.3.2</t>
  </si>
  <si>
    <t>WLCG Service Availability for Alice 97 %</t>
  </si>
  <si>
    <t>See comment for metric 1.2.9.</t>
  </si>
  <si>
    <t>1.3.3</t>
  </si>
  <si>
    <t>WLCG Service Availability for ATLAS 97 %</t>
  </si>
  <si>
    <t>See comment for metric 1.2.8.</t>
  </si>
  <si>
    <t>1.3.4</t>
  </si>
  <si>
    <t>1.2.13</t>
  </si>
  <si>
    <t>WLCG Service Availability for CMS 97 %</t>
  </si>
  <si>
    <t>See comment for metric 1.2.10 above. Plus in March CMS CE tests suffered from aa problem with argus plus another when a Hyperviosor failed affecting a number of virtual machines. This in turn affected CMS CE tests.</t>
  </si>
  <si>
    <t>See comment for metric 1.2.10</t>
  </si>
  <si>
    <t>1.3.5</t>
  </si>
  <si>
    <t>1.2.14</t>
  </si>
  <si>
    <t>WLCG Service Availability for LHCB 97 %</t>
  </si>
  <si>
    <t>See comment for metric 1.2.11.</t>
  </si>
  <si>
    <t>See comment for metric 1.2.11</t>
  </si>
  <si>
    <t>1.3.6</t>
  </si>
  <si>
    <t>1.2.4 &amp; 1.2.5</t>
  </si>
  <si>
    <t xml:space="preserve">Respond to pager within 2 hours  95 %  </t>
  </si>
  <si>
    <t>1.3.7</t>
  </si>
  <si>
    <t>4.1.2</t>
  </si>
  <si>
    <t xml:space="preserve">Number of GGUS Tickets not responded to within two hours .  </t>
  </si>
  <si>
    <t>3 per month</t>
  </si>
  <si>
    <t>1.3.8</t>
  </si>
  <si>
    <t>1.6.4</t>
  </si>
  <si>
    <t>Job Efficiency (CPU/Wall) 70 %</t>
  </si>
  <si>
    <t>1.3.9</t>
  </si>
  <si>
    <t>1.6.5</t>
  </si>
  <si>
    <t>Farm Occupancy 70 %</t>
  </si>
  <si>
    <t>1.3.10</t>
  </si>
  <si>
    <t>1.6.6</t>
  </si>
  <si>
    <t>Percentage of available T1 Disk 1 used in quarter 20 %</t>
  </si>
  <si>
    <t>1.3.11</t>
  </si>
  <si>
    <t>7.3.5</t>
  </si>
  <si>
    <t>Used tape capacity (TB)</t>
  </si>
  <si>
    <t>NGI</t>
  </si>
  <si>
    <t>3.4.1</t>
  </si>
  <si>
    <t>UK CPU and storage delivered to EGI</t>
  </si>
  <si>
    <t>Ian Collier</t>
  </si>
  <si>
    <t>3.4.2</t>
  </si>
  <si>
    <t>Monthly timesheets complete by 10th of each month</t>
  </si>
  <si>
    <t>3.4.3</t>
  </si>
  <si>
    <t>GridPP staff PM delivered as required</t>
  </si>
  <si>
    <t>3.4.4</t>
  </si>
  <si>
    <t>GOCDB Availability</t>
  </si>
  <si>
    <t>&gt;99%</t>
  </si>
  <si>
    <t xml:space="preserve">Waiting on EGI to publish their stats. A quick look at Nagios over the quarter shows no availability issues. </t>
  </si>
  <si>
    <t xml:space="preserve">Source: http://argo.egi.eu/lavoisier/opsmon_reports?accept=html </t>
  </si>
  <si>
    <t>3.4.5</t>
  </si>
  <si>
    <t>APEL Availability</t>
  </si>
  <si>
    <t>Adrian Coveney</t>
  </si>
  <si>
    <t>Complete</t>
  </si>
  <si>
    <t>Proposed to be Rescheduled</t>
  </si>
  <si>
    <t>Overdue</t>
  </si>
  <si>
    <t>Likely to be late</t>
  </si>
  <si>
    <t>Not yet due</t>
  </si>
  <si>
    <t>Proposed Milestone change</t>
  </si>
  <si>
    <t>Query</t>
  </si>
  <si>
    <t>Based on Milestones 1.3d-2</t>
  </si>
  <si>
    <t>Milestone no.</t>
  </si>
  <si>
    <t>Due date</t>
  </si>
  <si>
    <t>Date complete</t>
  </si>
  <si>
    <t>Evidence</t>
  </si>
  <si>
    <t>Comment</t>
  </si>
  <si>
    <t>1.4.1</t>
  </si>
  <si>
    <t>Produce the purchasing plan</t>
  </si>
  <si>
    <t>A purchasing plan swas produced but changes in the amount of money available require the plan to be re-visited.</t>
  </si>
  <si>
    <t>1.4.2</t>
  </si>
  <si>
    <t>FY16 Capacity order placed</t>
  </si>
  <si>
    <t>Order for CPU &amp; disk storage received by vendor mid-Feb.</t>
  </si>
  <si>
    <t>1.4.3</t>
  </si>
  <si>
    <t>FY16 Purchase in production</t>
  </si>
  <si>
    <t>CPU in use. Storage in Echo</t>
  </si>
  <si>
    <t>1.4.4</t>
  </si>
  <si>
    <t>Tier-1 WLCG MoU commitments met</t>
  </si>
  <si>
    <t>Alastair Dewhurst</t>
  </si>
  <si>
    <t>As shown in metrics.</t>
  </si>
  <si>
    <t>1.4.5</t>
  </si>
  <si>
    <t xml:space="preserve">Planning completed so that tenders could be issued. </t>
  </si>
  <si>
    <t>1.4.6</t>
  </si>
  <si>
    <t>FY17 Capacity order placed</t>
  </si>
  <si>
    <t>Tenders issued at end of November. Orders placed January 2018. - technically outside this quarter - but it is now done.</t>
  </si>
  <si>
    <t>1.4.7</t>
  </si>
  <si>
    <t>FY17 Purchase in production</t>
  </si>
  <si>
    <t>50% of CPU in production by June.  XMA CPU and all storage still behind.</t>
  </si>
  <si>
    <t>1.4.8</t>
  </si>
  <si>
    <t>Waiting on CPU delivery, storage is being ramped up slowly.</t>
  </si>
  <si>
    <t>1.4.9</t>
  </si>
  <si>
    <t>Unclear finance situation, new hardware is not in production, so hard to make predictions about what we will need.</t>
  </si>
  <si>
    <t>1.4.10</t>
  </si>
  <si>
    <t>FY18 Capacity order placed</t>
  </si>
  <si>
    <t>Disk Tender runs until 7th December.  CPU direct award placed in December.</t>
  </si>
  <si>
    <t>1.4.11</t>
  </si>
  <si>
    <t>FY18 Purchase in production</t>
  </si>
  <si>
    <t>1.4.12</t>
  </si>
  <si>
    <t>1.4.13</t>
  </si>
  <si>
    <t>1.4.14</t>
  </si>
  <si>
    <t>FY19 Capacity order placed</t>
  </si>
  <si>
    <t>1.4.15</t>
  </si>
  <si>
    <t>FY19 Purchase in production</t>
  </si>
  <si>
    <t>1.4.16</t>
  </si>
  <si>
    <t>Effort (FTE)</t>
  </si>
  <si>
    <t>GridPP Funded</t>
  </si>
  <si>
    <t>Unfunded</t>
  </si>
  <si>
    <t>Site</t>
  </si>
  <si>
    <t>Work area</t>
  </si>
  <si>
    <t>GRIDPP Funded Name(s)</t>
  </si>
  <si>
    <t>Month 1</t>
  </si>
  <si>
    <t>Month 2</t>
  </si>
  <si>
    <t>Month 3</t>
  </si>
  <si>
    <t>Fabric</t>
  </si>
  <si>
    <t>Bly, Hafeez, Harper, Walia, Chambers, Masaitis, Gale</t>
  </si>
  <si>
    <t>Grid</t>
  </si>
  <si>
    <t>Condurache, Adams, Collier, Ryall, Dibbo, Williams</t>
  </si>
  <si>
    <t>CASTOR/Tape/CEPH</t>
  </si>
  <si>
    <t>Canning ,  Folkes, Prosser, Appleyard, Johnson,Vasilakakos ,Patargias , Packer</t>
  </si>
  <si>
    <t>Database</t>
  </si>
  <si>
    <t xml:space="preserve">Smirnov, Packer, </t>
  </si>
  <si>
    <t>Management</t>
  </si>
  <si>
    <t>Sansum</t>
  </si>
  <si>
    <t>Production</t>
  </si>
  <si>
    <t>Smith, Idiculla, Kelly</t>
  </si>
  <si>
    <t>APEL</t>
  </si>
  <si>
    <t>Coveney, Corbett</t>
  </si>
  <si>
    <t>GOCDB</t>
  </si>
  <si>
    <t>Ryall, Meredith</t>
  </si>
  <si>
    <t>Machine room operations are now fully funded by SCD in GridPP5</t>
  </si>
  <si>
    <t>Site networking is not funded by either SCD or GridPP in GridPP5</t>
  </si>
  <si>
    <t>Ryall</t>
  </si>
  <si>
    <t>Bly, Hafeez, Harper, Walia, Summers, Chambers, Masaitis, Gale</t>
  </si>
  <si>
    <t>Condurache, Adams, Collier, Ryall, Dibbo</t>
  </si>
  <si>
    <t>Folkes, Prosser, Appleyard, Johnson,Vasilakakos ,Patargias , Packer</t>
  </si>
  <si>
    <t xml:space="preserve">Lopez, Packer, </t>
  </si>
  <si>
    <t>Smith, Moore, Kelly</t>
  </si>
  <si>
    <t>Lopez, Packer, Contractor</t>
  </si>
  <si>
    <t>Dewhurst</t>
  </si>
  <si>
    <t>2018Q2: APEL team were doing some effort profiling so small amounts in April and May.</t>
  </si>
  <si>
    <t>Bly, Hafeez, Harper, Walia, Summers</t>
  </si>
  <si>
    <t>Condurache, Adams, Collier, Dibbo</t>
  </si>
  <si>
    <t>Folkes, Prosser, Appleyard, Johnson, Patargias, Pettitt, McComb</t>
  </si>
  <si>
    <t>Progress over last Quarter</t>
  </si>
  <si>
    <t>Successes</t>
  </si>
  <si>
    <t>Problems/Issues</t>
  </si>
  <si>
    <t>General</t>
  </si>
  <si>
    <t>The Tier1 manager role continues to be covered by 20% of Andrew.
Database team now up to strength with two members of staff.</t>
  </si>
  <si>
    <t>Production team running well below staff complement. The plavcement of an apprentice in the team for siix months (Oct '16 - Mar '17) is helping.</t>
  </si>
  <si>
    <t>CPU</t>
  </si>
  <si>
    <t>Disk</t>
  </si>
  <si>
    <t>At the start of the year firmware updates were made to RAID cards in the Viglen '13 batch of disk servers.
Some of the 100TB  ’14 generation disk servershave been delpoyed in Castor. (These servers were originally used to test CEPH).</t>
  </si>
  <si>
    <t>CASTOR</t>
  </si>
  <si>
    <t>Castor was updated to version 2.1.15 during January/February.
At the end of the quarter a start was made on upgrading the SRMs to version 2.1.16 (and to run on SL6) although performance problems were subsequently encountered.</t>
  </si>
  <si>
    <t xml:space="preserve"> Following the upgrade of the GEN instance to 2.1.15 there was a problem with ALICE access as a special version of the xroot component is needed which we did not have available. This caused a significant loss of availability for ALICE (failed between the 26th and 30th January)
There were a number of instances of problems with Castor access during this quarter. </t>
  </si>
  <si>
    <t>ECHO</t>
  </si>
  <si>
    <t>In February ECHO was upgraded to the kraken version of CEPH. Resiliency tests have also been carried out.
Two additional 'MON' boxes are being set-up bringing the total to five. The existing three can cope with normal activity but the additional ones would speed up recoveries and starts. Two additional gateway nodes are also being set-up (also bringing the total to five) which will improve bandwidth. 
Out of hours cover by the ECHO team is being piloted.</t>
  </si>
  <si>
    <t>CEPH ECHO: There was a problem with one 'placement group' that resulted in a loss of data (2000 Atlas files). This has been followed up and understood - in conjunction with the CEPH developers and was presented in a CEPH forum. The understanding gained means that should this recur there would be no data loss.</t>
  </si>
  <si>
    <t>Grid Deployment</t>
  </si>
  <si>
    <t xml:space="preserve">The site and Top BDIIs were put behind load balancers.
A review of WMS usage shows ongoing interest in this service. </t>
  </si>
  <si>
    <t>Core Services</t>
  </si>
  <si>
    <t>Migration of LHCb data from 'C' to 'D' tapes has been completed. All Tier1 data is now on T10KD tapes.
Migration of services off SL5 as it has reached end of life.</t>
  </si>
  <si>
    <t>There were two problems when a hypervisor in the Hyper-V virtual infrastructure crashing. The VMs were recovered but there was an effect on services while this happened.</t>
  </si>
  <si>
    <t>Production Team</t>
  </si>
  <si>
    <t>Network</t>
  </si>
  <si>
    <t>IPv6 has been enabled on the various routers and in early March was available through to the Tier1 production network. Ahead of that IPv6 was disabled on systems (via quattor) and will be re-enabled on a case-by-case basis. The perfsonar nodes on the production Tier1 network now also run tests over IPv6.</t>
  </si>
  <si>
    <t>Machine Room Operations</t>
  </si>
  <si>
    <t xml:space="preserve">Two of the chillers were replaced. One of those replaced had partly failed. </t>
  </si>
  <si>
    <t>Database team</t>
  </si>
  <si>
    <t>No major problems encountered. Service ran smoothly during this period. Response time for GGUS tickets well within OLA. Most machines migrated off SL5.</t>
  </si>
  <si>
    <t>Delayed hardware has meant that one machine is yet to be migrated off SL5. John Gordon retired in this period, but still in touch and helping occasionally.</t>
  </si>
  <si>
    <t xml:space="preserve">EGI Ops Tools Advisory Group to prioritise GOCDB roadmap until the end of EGI-Engage: https://indico.egi.eu/indico/event/3296/ 
Roadmap updated: https://wiki.egi.eu/wiki/EGI-Engage:TASK_JRA1.4_Operations_Tools#GOCDB 
Work started on write API extensions. 
Work to virtualise the GOCDB failover instance under way.  
Downtime classification changes for Scheduled/Unscheduled downtimes presented to EGI, no resolution yet, ongoing. 
</t>
  </si>
  <si>
    <t>Reduced developer effort during Q117 (GR ~1mth leave, DM reduced effort). 
No major issues.</t>
  </si>
  <si>
    <t>Note:To get multiple lines per box use Alt-Return</t>
  </si>
  <si>
    <t>General Risks</t>
  </si>
  <si>
    <t>Risk</t>
  </si>
  <si>
    <t>Mitigating Action</t>
  </si>
  <si>
    <t>The GridPP5 proposal requires the Tier1 to transition to supplying a more diverse community and that economies (in this context as seen by GridPP) can be found by providing a shared resource.</t>
  </si>
  <si>
    <t>Ongoing discussions with other communities. Some initial success with DiRAC.</t>
  </si>
  <si>
    <t>Insitute or area specific risks</t>
  </si>
  <si>
    <t>Changes to purchasing plan may add delays and lead to purchasing items earlier at less favourable prices/performance.</t>
  </si>
  <si>
    <t>Purchasing against the revised plan will be prioritsied to expedite the processing and examined thoroughly.</t>
  </si>
  <si>
    <r>
      <rPr>
        <b/>
        <sz val="10"/>
        <rFont val="Arial"/>
        <family val="2"/>
        <charset val="1"/>
      </rPr>
      <t>2017</t>
    </r>
    <r>
      <rPr>
        <sz val="10"/>
        <rFont val="Arial"/>
        <family val="2"/>
        <charset val="1"/>
      </rPr>
      <t xml:space="preserve"> Capacity produrement may be impacted by delays introduced by SBS procurement process.</t>
    </r>
  </si>
  <si>
    <t>STFC recognises that delays in the SBS procurement process are a risk to the whole organisation. STFC has introduced its own oversight of this process. The Tier1 will need to commence its procurements significantly earlier than last year in order to meet its deadlines.
The purcahsing of the FY16 equipment was done at the very last minute (and equipment received just before the end of the FY). Use as made of an existing Framework agreement to achieve this.</t>
  </si>
  <si>
    <t>Experiment data access models are evolving. CASTOR is looking increasingly limited by transaction rate - particularly during hardware draining and meta-data operations such as ATLAS renaming.  It is increasingly clear that CASTOR will not provide all required functionality to meet future experiment requirements. However recent discussion at PMB F2F concluded that no indication yet that CASTOR would prove inadaquate.</t>
  </si>
  <si>
    <t>Continue work on the CEPH disk storage project (ECHO)</t>
  </si>
  <si>
    <t>CERN will stop support for Castor.</t>
  </si>
  <si>
    <t>CERN have announces a replacement for Castor (for tape). An evaluation of the best way forward for future tape storage is being made.</t>
  </si>
  <si>
    <t>CEPH ECHO will not deliver storage reliably or be able to deliver the necessary access bandwidth.</t>
  </si>
  <si>
    <t>Tight management of the ECHO project is carefuly monitoring progress. A detailed risk register for ECHO has been produced.</t>
  </si>
  <si>
    <t>Oracle withdraw support for existing Tape infrastucture.</t>
  </si>
  <si>
    <t>Oracle have indicated that the next generation of tape drives/mdeia will not be produced. Track Oracle timeline for tape/media/librray support and be aware of the directions being taken by other sites.</t>
  </si>
  <si>
    <t xml:space="preserve">Staffing recruitment and retention remains problematic. </t>
  </si>
  <si>
    <t>Recruitment and retention is considered a significant risk to STFC. A number of initiatives are underway in order to mitigate this. It would be possible to further mitigate against this risk if the Tier1 were able to recruit staff above agreed average staffing level.</t>
  </si>
  <si>
    <t>STFC has been unable to prioritise IPV6 developments necessary to allow the Tier-1 to to meet its WLCG milestone of Perfsonar access over IPV6.</t>
  </si>
  <si>
    <t>Tier-1 is setting up a new network management meeting that will include members of site networking group to oversee tier-1 network projects. Tier-1 service manager has been invited to attend the STFC NetTDA where site network development priorities are set.</t>
  </si>
  <si>
    <t>Objectives and Deliverables for Last Quarter</t>
  </si>
  <si>
    <t>Objective/Deliverable</t>
  </si>
  <si>
    <t>Due Date</t>
  </si>
  <si>
    <t>Metric/Output</t>
  </si>
  <si>
    <t>1.4.2 FY16 Capacity order placed</t>
  </si>
  <si>
    <t>Nov '16</t>
  </si>
  <si>
    <t>The orders were placed and equipment received by the end of the FY.</t>
  </si>
  <si>
    <t>Objectives and Deliverables for Next Quarter</t>
  </si>
  <si>
    <t>Summary of Comments</t>
  </si>
  <si>
    <t>1.4.3.  FY16 Purchase in production</t>
  </si>
  <si>
    <t>April '17</t>
  </si>
  <si>
    <t>Equipment delivered but time needed for cabling and testing. Will be late.</t>
  </si>
  <si>
    <t>1.4.4.  Tier-1 WLCG MoU commitments met</t>
  </si>
  <si>
    <t>May '17</t>
  </si>
  <si>
    <t>1.4.5. Produce the purchasing plan</t>
  </si>
  <si>
    <t>June '17</t>
  </si>
  <si>
    <t>Objectives and Deliverables needing Rescheduling</t>
  </si>
  <si>
    <t>Old Due Date</t>
  </si>
  <si>
    <t>New Due Date</t>
  </si>
  <si>
    <t>Reason</t>
  </si>
  <si>
    <t>1.4.1 Produce the purchasing plan</t>
  </si>
  <si>
    <t>Jun '16</t>
  </si>
  <si>
    <t>Propose Oct/Nov '16</t>
  </si>
  <si>
    <t>Taking this as the purchasing plan for spendind within the 2016/17 FY. A plan was produced but has had to be changed as some spend originally earmarked for Tier2s is being moved to the Tier1.</t>
  </si>
  <si>
    <t xml:space="preserve">New Objectives and Deliverables </t>
  </si>
  <si>
    <t>The Tier1 manager role continues to be covered by 20% of Andrew.</t>
  </si>
  <si>
    <t xml:space="preserve">Production team running well below staff complement. </t>
  </si>
  <si>
    <t>During the quarter a start was made on installing xrootd gateways on worker nodes.</t>
  </si>
  <si>
    <t>We started seeing a high rate of cases where the RAID cards in one batch of disk servers (OCF '14) were flagging problems in disk drives but the vendor was finding no fault with the returned drives. In response during June a the firmware in all the RAID cards in this batch were updated to the latest version.</t>
  </si>
  <si>
    <t>Castor and the SRMs were upgraded to version 2.1.16-13. This put us on a version similar to that running at CERN.
The upgrade of the SRMs (both a Castor update and OS update to SL6) meant we no longer had and external facining systems running SL5.</t>
  </si>
  <si>
    <t>There were significant problems with Castor for LHCb that led to the previous SRM update (on 23rd March) being reverted. This gave significant improvement.
There were some Castor problems following the upgrade to version 2.1.16-13 in May. Notably a problem for LHCB when a TURL returned by the SRM did not always work when used for xroot access. Also, Atlas encountered a problem where double-slashes ("//") in the incoming request filenames caused problems. These issues were resolved and led to more stable Castor operations.
There was a steady rate of CMS SAM test failures affecting availabilities.</t>
  </si>
  <si>
    <t>During April Out of Hours cover for the Echo service started to be piloted. 
During May the GridFTP / XRootD plugins on the Echo gateways were successfully updated - changing the way checksums are stored. 
During May CMS successfully tested AAA access to ECHO over xrootd.
By the end of May atlas were storing 2Petabytes of data in Echo. Following this Atlas carried out a successful deletion test - as regular deletions (as well as creations) are needed for normal operations. 
During June an internal (transparent) change was successfully made to the Echo CMS pool to increase the number of placement groups. This improves the distribution of data and was being done ahead of adding more hardware capacity.</t>
  </si>
  <si>
    <t>Echo has seen a number of issues arise as usage ramped up - and these have been successfully tackled:
During May problems were seen on the Echo xroot gateways. A xrootd proxy cache was then installed on these gateways and this resolved the issue. 
In June Echo saw an internal problem where the "Level DB"s on some OSDs (disk managers) had grown very large causing latency problems. The cause was understood and worked around by the introduction of the XRoot proxies. It was then possible to reduce the sizes of these databases. 
Also during June there were problems with the Echo gateways that coincided with a large increase in requests. In response the xrootd gateway was stopped for a few days and a concurrent connection limit applied to the GridFTP gateways. High memory usage was also observed and steps taken to reduce that.</t>
  </si>
  <si>
    <t xml:space="preserve">During May batch access was enabled for LIGO and the MICE pilot role.
Also during May the Edinburgh Dirac site started transferring data in production - initiall around 2 to 4TB per day. Then during June data startedshipping from the Leicester Dirac site. </t>
  </si>
  <si>
    <t>During May load balancers were set-up in front of the Argus service and the CEs configured to use these. This eliminated a  single-point of a failure for the batch system.</t>
  </si>
  <si>
    <t xml:space="preserve">In April The IPv6 addressing scheme was agreed and put in place. This was an enabler for IPv6 services. Also during Aril the Perfsonar nodes were set-up to work over IPv6 on the production Tier1 network.
Towards the end of June:
- The paired network link between R89 and R26 was switched from 2*10Gb/s to 2*40Gb/s.
- The OPN link to CERN was increased from 2*10Gb/s to 3*10Gb/s.
</t>
  </si>
  <si>
    <t>In May a problem with the site firewall was revealed. Initially being looked at owing to videoconferencing problems it became clear this has a significant effect on some of our data flows. Although much of our data flow bypasses the firewall this is a significant problem (e.g. for data flows to/from worker nodes) and is caused by a weakness in the current firewall. (The problem has not been resolved).</t>
  </si>
  <si>
    <t>The two chillers replaced in the last quarter are working OK. They look like they will give will give a return on investment (in electricity costs) in around 5 years.</t>
  </si>
  <si>
    <t>At the end of April there was a failure of the UPS in building R89 when internal capacitors overheated. Following this there was no UPS (or diesel) backup to the machine room in R89. A replacement UPS was installed and commissioned during May.</t>
  </si>
  <si>
    <t>No major problems encountered. Service ran smoothly during this period. Response time for GGUS tickets well within OLA.</t>
  </si>
  <si>
    <t>New hardware did arrive at last, but due to problems with sys admin availability, only now starting to work up a detailed schedule and plan for migration.</t>
  </si>
  <si>
    <t>Handover from DM to GR completed. 
Work on extending write API continuing</t>
  </si>
  <si>
    <t xml:space="preserve">No Major Issues. DM to move to other projects. </t>
  </si>
  <si>
    <t>Tight management of the ECHO project is carefuly monitoring progress. A detailed risk register for ECHO has been produced. Staff are gaining operational experience with Echo now storing Atlas data.</t>
  </si>
  <si>
    <t>1.4.3 FY16 Purchase in production</t>
  </si>
  <si>
    <t>Apr '17</t>
  </si>
  <si>
    <t>Equipment delivered but further time needed for testing before going into production.</t>
  </si>
  <si>
    <t>1.4.4 Tier-1 WLCG MoU commitments met</t>
  </si>
  <si>
    <t>New equipment not in use. However, CPU commitment met and Echo storage coming onstream. Note that this report missing key metrics here.</t>
  </si>
  <si>
    <t>Planning underway. However, plean will not be finalised until much later than this.</t>
  </si>
  <si>
    <t>No milestones in next quarter.</t>
  </si>
  <si>
    <t>Oct '17</t>
  </si>
  <si>
    <t>Finalising the purchasing requires many discussions and usually cannot (or does not) start earlier.</t>
  </si>
  <si>
    <t>In mid-July data started to be received from the Dirac Leicester site. By the end of this quarter we had a total of about 2PBytes of data from a total of 4 of the Dirac sites.</t>
  </si>
  <si>
    <t>The RAID card firmware was updated on one batch of disk servers (OCF '14) in July. Also during July the wide area network tuning parameters were updated on Castor disk servers. (This had previously been applied to some of the servers - this completed the roll-out.)
During this quarter 6 additional disk servers have been deployed into each of AtlasTape, CMSTape and lhcbRawRdst (All D0T1 areas) in Castor.</t>
  </si>
  <si>
    <t>The (2015) disk servers added into Echo gave problems owing to a higher-than-expected rate of disk errors. The servers had been put into a Ceph test area and exercised. However, this was clearly insufficient to shake out enough of the disk problems and the process will be re-visited. The error rates seen on the disks drives used in Echo are requiring careful management which is taking more effort than anticipated.</t>
  </si>
  <si>
    <t>In July and August there were some problems with Atlas Castor. One was specifically accessing the Atlas Scratch Disk, another affected the SRMs. During August  small AtlasScratchDisk was merged into the larger AtlasDataDisk pool in Castor. This had the effect of removing the bottleneck caused by the small AtlasScratchDisk pool which affected the rate at which files could be transferred in/out.
Enabled access to Castor for the SOLID experiment.</t>
  </si>
  <si>
    <t>A couple of instances during the quarter where CMSDisk became full. This affected the SAM SRM tests and hence CMS availability. 
At the start of the quarter we were still seeing a high rate of failures of the CMS SAM tests against the SRM which affected the (CMS) availabilities. However, around the middle of the quarter the test success rate improved markedly although we do not understand why.
In August four files were reported lost to CMS from a tape. During a CMS mass recall the monitoring noted that one tape was generating errors and causing tape drives to go down. The tape was put into repack. After various attempts at repacking and reading files direct from tape, four files were left unreadable.
In September six disk servers from 2012 batches were deployed into the LHCb tape buffer. Some problems were encountered with SAM tests failing - ultimately traced to configuration problems on a couple of these additional disk servers. LHCb did not report operational problems resulting from this.</t>
  </si>
  <si>
    <t xml:space="preserve">In July a test gateway to Echo was made dual stack and test transfers have been shown to work over IPv6 to/from CERN. 
At the start of the quarter the number of placement groups in the Echo CEPH Atlas pool was steadily increased in preparation for the increase in storage capacity when new hardware was added.  This was completed early August, and then by mid-August all the 2015 capacity storage had been put into Echo giving around 13.4Petabytes of space raw or approximately 10PBytes of usable space. Work then started to re-balance the existing data across all the storage.
In early September there was a successful test transfer of CMS data into Echo using PhEDEx. </t>
  </si>
  <si>
    <t>Media errors that were flushed out as Atlas data was moved (rebalanced) onto the newly-added hardware (the rest of the 2015 batch) led to problems within CEPH. At the end of August there was a loss of around 22,000 Atlas files (of which 3285 files were unique). One CEPH "placement group" was lost. This problem was understood - and a bug in CEPH identified.  Media errors in the  hardware that has been added into Echo exposed a bug in the CEPH Erasure Coding when back-filling. Careful management of disk errors as the data was moved onto new servers was necessary. The rebalancing proceeded much more slowly than anticipated and was still ongoing at the end of the quarter.
The above problem aslo uncovered a separate problem (subsequently solved) with the Echo gateways (including those on the worker nodes) which created many threads - blocking activity.
Post mortem for data loss at: https://www.gridpp.ac.uk/wiki/RAL_Tier1_Incident_20170818_first_Echo_data_loss</t>
  </si>
  <si>
    <t xml:space="preserve">
</t>
  </si>
  <si>
    <t xml:space="preserve">In July access to FTS via the SOAP interface was stopped. This enabled the FTS service to be subsequently upgraded to a newer version.
By early August all squid nodes have been enabled with IPv4/IPv6 dual stack and in mid-August the CVMFS Stratum-1 service also had IPv4/6 dual stack enabled.
The moving of VMs off our old Windows HyperV2008 infrastructure to hypervisors running HyperV2012 was largely complete at the end of the quarter. </t>
  </si>
  <si>
    <t>There was a problem with the test FTS3 service (used by Atlas) at the end of July. The system hit a limit of having done 2 billion file transfers. An emergency update was applied.</t>
  </si>
  <si>
    <t xml:space="preserve">During August one of the three links that make up the OPN connection was moved to a new circuit that uses a different route - improving resilience of the overall OPN link.
</t>
  </si>
  <si>
    <t>There is an ongoing problem on the site firewall which is causing problems for some specific data flows that pass through the firewall.
There was a site networking problem overnight at the end of July. One of the RAL core network stacks stopped working correctly in the early hours one morning. The Tier1 router pair flipped between the connections to the core networkj stacks several times. However, the one failing stack was in a bad shape and even when nominally up was not working correctly leading to the flipping. The faulty stack was stopped in the morning restoring network connectivity.
Following the above there was a further problem on the 2nd August. After the previous problem we had set our router pair (the Extreme X670s) to not flip back to use the link to the (then) failing stack. However, during work to resolve the problem on the failed core stack our second link to another core stack went down - it appears our routers thought there was a network loop. This caused the Extreme x670 router pair to try  switching back to the other connection. The upshot was a complete break in Tier1 connectivity to the core for around an hour. There was some delay in re-establishing IPv6 connectivity after this event.</t>
  </si>
  <si>
    <t xml:space="preserve">Power work was carried out in building R26 (the Atlas building) over the weekend of 29/30 July. This had no impact on our operational services.
There was a successful UPS/Generator load test on 9th August. These are done quarterly and this was the first regular test since the building UPS was replaced. (It had been tested shortly after installation). </t>
  </si>
  <si>
    <t>New hardware finally up and running. Summary processing rate much increased by this change. No major problems encountered. Service ran smoothly during this period. Response time for GGUS tickets well within OLA.</t>
  </si>
  <si>
    <t>A couple of days had no cover by core APEL staff due to coincident leave.</t>
  </si>
  <si>
    <t>Others starting to gain knowledge to gain resiliency of service.</t>
  </si>
  <si>
    <t>Availability of effort.</t>
  </si>
  <si>
    <t>Tight management of the ECHO project is carefuly monitoring progress. There has been one notable data loss incident. However, experience so far corroborates that expected from the risk register. As experience is being gained this risk is diminishing.</t>
  </si>
  <si>
    <t>CPU in use. Storage awaiting further work in Echo.</t>
  </si>
  <si>
    <t>1.4.6 FY17 Capacity order placed</t>
  </si>
  <si>
    <t>Nov '17</t>
  </si>
  <si>
    <t>Tenders issued at end of November.</t>
  </si>
  <si>
    <t>Darren Moore started in Production Team at the end of October. He will take over the role of Production Manager.
The Tier1 manager role continues to be covered by 20% of Andrew.</t>
  </si>
  <si>
    <t>Andrey Smirnov, Senior Database Administrator, left in October.
Andrew Lahiff left in December.</t>
  </si>
  <si>
    <t>Nothing significant to report.</t>
  </si>
  <si>
    <t>The investigation of the errors in the drives added to Echo revealed that higher than expected failure rates were correlated with higher temperatures and it was found that the air flow through some of these racks was not correct (fan not turned on, air vents at the bottom of racks closed).</t>
  </si>
  <si>
    <t>The Castor tape servers have been upgraded to SL7.
The Castor SRMs were upgraded to the latest version (2.1.16-18). The first was for LHCb in November. LHCb needed a bugfix available in this version. All the remaining SRMs were upgraded early December.
In December three disk servers were added to LHCb disk-only storage to alleviate space problems.</t>
  </si>
  <si>
    <t>There were problems with CMS disk-only becoming full in October. The draining of older disk servers (2012 generation) - partly in anticipation of CMS moving to Echo had been taking place and this had taken CMS to below pledge. This was causing significant problems for CMS. The solution was to add some (five) disk servers back into CMSDisk.
During November one of the Castor CMS headnodes failed. It was replaced with a spare. The failure occurred early morning - and the service was resumed during the afternoon.</t>
  </si>
  <si>
    <t>Work has progressed towards CMS making use of Echo. Their PhEDEx configuration was modified to use Echo. At the end of October CMS was switched over so that local CMS batch jobs now use Echo as the primary means of accessing local data via xrootd. If data not found there it will fail over to Castor.
The allocation in Echo for ATLAS was increased over the quarter. By the end of this time it stood at 4.1PB. (4PB in datadisk and 100TB in scratchdisk.)
In October modified code that uses less memory in the Echo gateways was rolled out and a parameter change made to improve the GidFTP gateway. Following this the maximum number of gridftp connections to each Echo gateways has was increased from 100 to 200.</t>
  </si>
  <si>
    <t>The re-distribution of data onto the 2015 capacity hardware, which had previously been added in, was problematic and took a long time - being completed mid-way through November. This was done cautiously owing to disk errors in the newly added systems triggering a bug in CEPH (the 'backfill' bug) that required some manual intervention to work round. The rate of errors seen in the newly added disks was a concern and the Echo/Fabric teams investigated. (See note in "Disk" section above.)</t>
  </si>
  <si>
    <t>At the end of October both  'test' and production FTS services were updated to the same version, paving the way for future consolidation of the services. In November both these services were enabled for IPv6 (i.e. dual stack enabled). Then at the end of November the production FTS service was migrated to use a distributed back-end database (MariasDB Galera cluster).
We learnt that EGI will withdraw support for the WMS from the start of 2018. Our WMS service will be stopped on this timescale.</t>
  </si>
  <si>
    <t>There was a problem with Atlas file transfers to Echo mid-October. An  update to the "test" FTS3 service (used by Atlas) led to a loss of some settings in the FTS service. Notably the number of concurrent streams for a transfer to Echo was increased. Fixed by re-applying the settings.</t>
  </si>
  <si>
    <t>Services still using the older Quattor/SCDB system for configuration/deployment were migrated to use Quattor/Aquilon. (Apart from some systems with a short expected lifetime).</t>
  </si>
  <si>
    <t>Along with other sites we had problems with the updated UK CA certificate in the IGTF 1.88 rollout at the start of December. We rolled back our initial deployment then, following an agreed plan, rolled forward again one week later.</t>
  </si>
  <si>
    <t xml:space="preserve">The arrival of a new member of staff has brought the headcount back up nearer complement.
Operations over the Christmas and New Year holiday were generally stable although not completely quiet for the oncall team. There were some Castor disk server failures and staff did attend site over the holiday to replace failed disk drives. </t>
  </si>
  <si>
    <t>In October one of the three links that makes up the OPN connection was re-routed. (Circuit LHC-1). A cabling change was made by Janet staff at Harbour Exchange at the same time as one made at RAL.</t>
  </si>
  <si>
    <t>There has been an ongoing problem with the site firewall which is causing problems for many data flows. This is having an effect on our data that passes through the firewall (such as to/from worker nodes).
There were some problems with IPv6 connectivity at the end of November. Our second Extreme x670 router did not have a physical connection for IPv6 to the RAL core - and a fail-over to this router had broken the IPv6 connectivity.
There was a problem of high packet loss for traffic to/from the Tier that passed through the RAL core network (and firewall) on 4th December. The problem started at midnight and was fixed around 15:30.
A faulty transceiver caused problems for some internal Tier1 network connections - particularly to monitoring systems in the UPS room overnight 21/22 December. A member of staff attended overnight - when the problem was identified and fixed. External services were largely unaffected.</t>
  </si>
  <si>
    <t>There was a power outage affecting the RAL site (and wider area), on the 20th November at around 12:05. This lasted around 10 minutes. There are two power feeds into site. One had failed earlier that morning. The power outage was when the second feed also failed. Systems on UPS power stayed up. However, the diesel generator failed to start. In this instance this was not critical – the power returned well within the time limit the UPS batteries can supply. All Tier1 systems were restored early evening the same day.
As a preventative measure the diesel generator was run through the following night. A faulty emergency power-off switch was identified and this is believed to be the cause of the diesel generator not starting. This was replaced and a generator/UPS load test successfully carried out on the 13th December.</t>
  </si>
  <si>
    <t>The size of the team (down to one person) was a cause for concern.</t>
  </si>
  <si>
    <t>No major problems encountered. Service ran smoothly during this period. Response time for GGUS tickets well within OLA. Monitoring of logs implemented that has simplified some of our support tasks.</t>
  </si>
  <si>
    <t>No proper staff cover over Christmas. Concern about generator failing to start during power cut in November.</t>
  </si>
  <si>
    <t>Availability of effort remained an issue this quarter, but increasing efforts have successfully been made to work more closely with the Apel team.</t>
  </si>
  <si>
    <t>The GridPP5 proposal requires the Tier1 to transition to supplying a more diverse community and that economies (in this context as seen by GridPP) can be found by providing a shared resource.This may prove to be impossible or require more effort than available.</t>
  </si>
  <si>
    <t>Close engagement with UKT0 project.</t>
  </si>
  <si>
    <t xml:space="preserve"> CASTOR is looking increasingly limited by transaction rate - particularly during hardware draining and meta-data operations such as ATLAS renaming.  </t>
  </si>
  <si>
    <t>Echo service will replace CASTOR for disk and mitigate this issue within 6 months.</t>
  </si>
  <si>
    <t>Tight management of the ECHO project is carefuly monitoring progress. There has been one notable data loss incident. However, experience so far corroborates that expected from the risk register. As experience is being gained, including demonstrating that Echo can deliver data at significant rates, this risk is diminishing.</t>
  </si>
  <si>
    <t>No indication from Oracle that existing tape infrastructure will end of life. Maintain close links with Oracle in order to identify any future issues.</t>
  </si>
  <si>
    <t>GridPP5 Staffing plan requires Tier-1 to reduce staff effort to 14.5 FTE in FY18. Potential impact on Tier-1 operation.</t>
  </si>
  <si>
    <t xml:space="preserve">Attempt to maintain average staff level closer to 100%. Identify further mitigations to improve STFC recruitment and retention. Seek financial reprofile of FY17 underspend. Cut costs where feasible through terminating services and reducing costs. </t>
  </si>
  <si>
    <t xml:space="preserve">Staffing recruitment and retention remains very problematic. </t>
  </si>
  <si>
    <t>Recruitment and retention is considered a significant risk to STFC. A number of initiatives are underway in order to mitigate this. It would be possible to further mitigate against this risk if the Tier1 were able to recruit staff above agreed average staffing level. Recent departures, coupled with difficulties recruiting make this risk more acute.</t>
  </si>
  <si>
    <t>None</t>
  </si>
  <si>
    <t>Spring '18</t>
  </si>
  <si>
    <t>Patching for the Meltdown and Spectre bugs took place.  However, there was a significant tail of systems that were not patched until around the end of this quarter.</t>
  </si>
  <si>
    <t>One of the tranches of disk purchases failed to be delivered by the end of the Financial Year.</t>
  </si>
  <si>
    <t>A new members of staff began work during the quarter to work within the Fabric Team with an emphasis on Cloud support.
New Tier1 Manager appointed at end of quarter.</t>
  </si>
  <si>
    <t>The Hyper-K VO was enabled on the batch farm.</t>
  </si>
  <si>
    <t>There have been transitory problems on worker nodes that stops Docker containers being started. Restarting systems resolved this particular problem.</t>
  </si>
  <si>
    <t>Early in the New Year an Atlas D1T0 disk server failed with loss of all data. The problem was triggered by a failed drive. However, errors seen on other disk drives while this one was rebuilding led to loss of the RAID6 array. There were around 960,000 files on the server - around half of which were unique. A post mortem investigation of this incident has been carried out.
A number of disk servers had BIOS updates to alter fan speeds to improve cooling.
One of the tranches of disk purchases failed to be delivered by the end of the Financial Year.</t>
  </si>
  <si>
    <t>In January there were problems with the Atlas Castor instance. High load triggered very poor performace. It was found that one of the tables in the Atlas stager Castor database was badly fragmented. During an overnight outage this table was rebuilt and normal operation restored.
Mid January there were problems over a weekend for LHCb Castor. LHCb were running merging jobs. Contact with LHCb led to them reducing their workload and the service was able to again run normally.</t>
  </si>
  <si>
    <t>The ATLAS quota on Echo was increased in steps to to 5PBytes. At the end of the quarter CMS were starting to make significant use of Echo.
The Upgrade of Echo to the latest CEPH release (“Luminous”) was carried out successfully during January.
The Echo gateways were enabled for dual (IPv4/6) access at the end of February. Note: This uncovered some problems elsewhere in the Tier1's infrstructure. (See 'Networking' below).</t>
  </si>
  <si>
    <t>In February there was a problem when there was a high rate of GridFTP writes into Echo. This was traced to a problem with available network (IP) ports. Although these were not exhausted the GridFTP server believed they were - it transpired that GridFTP requires a contiguous set of ports to be available. The available port range was increased resolving the problem.</t>
  </si>
  <si>
    <t xml:space="preserve">The termination of the WMS service took place. Originally announced for the start of February it was brought forward a few weks to avoid patching the WMS systems for Spectre/Meltdown as no-one was actually using the service.
At our request Atlas moved from using our "test" FTS service to the production one at the end of January. This enabled a consolidation of our FTS infrastructure on one service.
Alice, CMS and LHCb VOBOXes were made dual stack IPv4/6. </t>
  </si>
  <si>
    <t>At the end of January there was an overnight problem with the system that runs the tape library control software. The control system could not be booted. This was fixed the following morning. Overnight we were unable to mount tapes - effectively blocking tape access (although writes to the disk buffers in front of tape, plus reads of any data in those buffers, carried on).
During February there was a problem over a weekend with tape access for the Castor GEN instance. A network misconfiguration had been introduced after some tape servers had been physically moved.</t>
  </si>
  <si>
    <t xml:space="preserve">The IPv6 connections used by the ‘bypass’ route by which data flows avoid the site firewall was moved to share the IPv4 connections. We had been running with separate, 
10Gbit physical links for IPv6 as this would aid investigations of problems etc. However, as we were preparing for larger IPv6 data flows in/out of Echo the IPv6 connection was moved to share the IPv6 connections on the 40Gbit connections. </t>
  </si>
  <si>
    <t>There were problems with FTS transfers to/from Echo via our FTS service after the Echo gateways were enabled for IPv6. It was quickly realized that the load balancers in front of  the FTS nodes were not enabled for IPv6 (although the FTS service itself was). However, fixing this did not resolve the problem. After investigation a race condition in our system configuration utility (Quattor) was found. This caused the IPv6 configuration not to be applied correctly in some cases. Fixing this resolved the FTS issues.
One morning during February there was a problem with two of the three connections that make up the OPN link to CERN. This corresponded with a problem reported by Janet at London Powergate (their updated also indicated that two of our links were affected). We saw the one remaining link maxing out inbound. This was resolved around midday. However, one of the links then showed errors. That link was downed for a while until that was sorted. By the following morning all three links were again fully operational.
Towards the end of March we received a number of GGUS tickets reporting problems with Xrootd access. It was found that that a firewall rule had been dropped - effectively blocking the protocol. The rule was reinstated.</t>
  </si>
  <si>
    <t>Only one member of staff in the team. A contractor (with previous experience of our set-up) has been brought in to assist while recruitment underway.</t>
  </si>
  <si>
    <t>Service ran smoothly.
Response time for GGUS tickets well within OLA.</t>
  </si>
  <si>
    <t>Some of the published Availability/Reliability figures were incorrect owing to an Argo certificate update. Awaiting recaculation of these. (Figure given in the metrics tab of this report is corrected).</t>
  </si>
  <si>
    <t>Sharing of knowledge with others continues and several other staff members are able to make valuable contributions to service delivery and development.</t>
  </si>
  <si>
    <t xml:space="preserve">Availability of effort was a problem this Q with GR spending 70% of his time on TU/UKRI formation work. This should be partially resolved for month 2 of Q2. </t>
  </si>
  <si>
    <t>1.4.7 FY17 Purchase in production</t>
  </si>
  <si>
    <t>April '18</t>
  </si>
  <si>
    <t>It may take a while to get the disk servers into Echo.</t>
  </si>
  <si>
    <t>1.4.8 Tier-1 WLCG MoU commitments met</t>
  </si>
  <si>
    <t>May '18</t>
  </si>
  <si>
    <t>1.4.9 Produce the purchasing plan</t>
  </si>
  <si>
    <t>June '18</t>
  </si>
  <si>
    <t>Late delivery of one tranche will cause some delay.</t>
  </si>
  <si>
    <t>Work on a Rucio demonstrator for SKA.</t>
  </si>
  <si>
    <t>In April new Docker images rolled out across entire batch farm to fix a security issue with Singularity.
Job Submissions enabled and working for Dune and SKA.</t>
  </si>
  <si>
    <t>In April four disk servers have been deployed into Castor GenTape and the older ones withdrawn from service.</t>
  </si>
  <si>
    <t>In May/June there was a failure of  the system that injected Castor information into the BDII (the "CIP" - or Castor Information Provider). It was initially planned to leave the system off as we see the BDII as a service with a limited future. However, some of the smaller VOs had had problems and the CIP was subsequently put back into operation.</t>
  </si>
  <si>
    <t>At the start of April a minor CEPH update was applied to Echo to fix the ‘backfill’ bug. This will make adding more hardware into Echo easier.</t>
  </si>
  <si>
    <t>The Top-BDII was dual-stacked IPv4 and IPv6 in April.</t>
  </si>
  <si>
    <t>RT ticket system used internally migrated to a VM with new OS.</t>
  </si>
  <si>
    <t>An upgrade (replacement) of the RAL firewall was deployed in April.This does IPv6 in hardware as well as alleviating some bottlenecks caused by the previous one.
The external connection from RAL to Janet was upgraded from redundant 40Gbit connections to redundant 100Gbit connections in June.</t>
  </si>
  <si>
    <t>There have been problems with IPv6 connections when the Tier1 Router pair fails over. This was first found in April. The problem is not yet resolved.
At the end of April one of the three links that make up the OPN connection went down. It was fixed some hours later - by a reset of the line card at RAL.</t>
  </si>
  <si>
    <t>Only one member of staff in the team. A contractor (with previous experience of our set-up) assisting.</t>
  </si>
  <si>
    <t>No major problems encountered. Service ran smoothly during this period. Response time for GGUS tickets within OLA.</t>
  </si>
  <si>
    <t>Tight management of the ECHO project is carefuly monitoring progress. There has been one notable data loss incident. However, experience so far corroborates that expected from the risk register. Atlas and CMS have now switched to using Echo and it is delivering sufficient bandwidth. Any bandwidth limitations are in the gateways and here we are providing gateways on each of our worker nodes as well as the general usage ones. This risk is diminishing as operational experience builds.</t>
  </si>
  <si>
    <t>It may take a while to get the disk servers into Echo. (Update September: XMA servers in use. Clustervision awaiting memory upgrade.)</t>
  </si>
  <si>
    <t>DONE: CPU in use. Storage in Echo</t>
  </si>
  <si>
    <t>Autumn '18</t>
  </si>
  <si>
    <t>As of Sep 2018: XMA tranche in use; Clustervision not yet.</t>
  </si>
  <si>
    <t>Ceph have had their team size increase by 3 to its current compliment of 5</t>
  </si>
  <si>
    <t>Successful commisioning of new CASTOR tape instance  - wlcgTape</t>
  </si>
  <si>
    <t>Echo experienced unscheduled outage as the result of a combination of a known Ceph issue and  under spec'ed memory.</t>
  </si>
  <si>
    <t>Successful upgrade of RAL site connection to 100gb.  Link between new and old border routers increased from 40Gb to 80Gb.</t>
  </si>
  <si>
    <t>Over this quarter Tier-1 have experienced a number f IPv6 connectivity issues which in turn impacted the FTS service.</t>
  </si>
  <si>
    <t>Successful testing of Data Centre circuit breakers. No services were detrementially impacted.</t>
  </si>
  <si>
    <t>CPU MoU was met in September.</t>
  </si>
  <si>
    <t>Produced in August.</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</si>
  <si>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</si>
  <si>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</si>
  <si>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</si>
  <si>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</si>
  <si>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</si>
  <si>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</si>
  <si>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</si>
  <si>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</si>
  <si>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</si>
  <si>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</si>
  <si>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</si>
  <si>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</si>
  <si>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No major problems encountered. Tier-1 services ran smoothly during this period. Response time for GGUS tickets within OLA.</t>
  </si>
  <si>
    <t>Echo broke the 1Tbps threshold when rebalancing data after the team had weighted the CV17 disk servers up from 10% to 25%</t>
  </si>
  <si>
    <t>The BDII service was decommissioned during this quarter.</t>
  </si>
  <si>
    <t>There has been an on-going and intermitent issues during the reporting period with XRootD and CMS AAA.  This was finally resolved by the upgrade of XRootD to the then latest version (4.8.5).</t>
  </si>
  <si>
    <t>119%%</t>
  </si>
  <si>
    <t>118%%</t>
  </si>
  <si>
    <t>&lt;1%</t>
  </si>
  <si>
    <t>Difficult to estimate.  No disk servers were out in Echo, but an increasing number are having problems in Castor.</t>
  </si>
  <si>
    <t>100%%</t>
  </si>
  <si>
    <t>99%%</t>
  </si>
  <si>
    <t>Bly, Hafeez, Harper, Walia, Summers, Banks</t>
  </si>
  <si>
    <t>Folkes, Prosser, Appleyard, Johnson, Patargias, McComb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</si>
</sst>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7" formatCode="0.000"/>
    <numFmt numFmtId="168" formatCode="0.0%"/>
  </numFmts>
  <fonts count="9" x14ac:knownFonts="1">
    <font>
      <sz val="10"/>
      <name val="Arial"/>
      <charset val="1"/>
    </font>
    <font>
      <sz val="10"/>
      <name val="Arial"/>
      <family val="2"/>
      <charset val="1"/>
    </font>
    <font>
      <b/>
      <sz val="10"/>
      <name val="Arial"/>
      <family val="2"/>
      <charset val="1"/>
    </font>
    <font>
      <i/>
      <sz val="10"/>
      <name val="Arial"/>
      <family val="2"/>
      <charset val="1"/>
    </font>
    <font>
      <sz val="12"/>
      <name val="Arial"/>
      <family val="2"/>
      <charset val="1"/>
    </font>
    <font>
      <b/>
      <sz val="12"/>
      <name val="Arial"/>
      <family val="2"/>
      <charset val="1"/>
    </font>
    <font>
      <b/>
      <sz val="9"/>
      <color rgb="FF000000"/>
      <name val="Tahoma"/>
      <family val="2"/>
      <charset val="1"/>
    </font>
    <font>
      <sz val="9"/>
      <color rgb="FF000000"/>
      <name val="Tahoma"/>
      <family val="2"/>
      <charset val="1"/>
    </font>
    <font>
      <sz val="10"/>
      <color rgb="FFFF0000"/>
      <name val="Arial"/>
      <family val="2"/>
      <charset val="1"/>
    </font>
  </fonts>
  <fills count="21">
    <fill>
      <patternFill patternType="none"/>
    </fill>
    <fill>
      <patternFill patternType="gray125"/>
    </fill>
    <fill>
      <patternFill patternType="solid">
        <fgColor rgb="FFFFFFFF"/>
        <bgColor rgb="FFFFFFCC"/>
      </patternFill>
    </fill>
    <fill>
      <patternFill patternType="solid">
        <fgColor rgb="FF99CCFF"/>
        <bgColor rgb="FFCCCCFF"/>
      </patternFill>
    </fill>
    <fill>
      <patternFill patternType="solid">
        <fgColor rgb="FF1FB714"/>
        <bgColor rgb="FF00B050"/>
      </patternFill>
    </fill>
    <fill>
      <patternFill patternType="solid">
        <fgColor rgb="FFCCFFFF"/>
        <bgColor rgb="FFCCFFFF"/>
      </patternFill>
    </fill>
    <fill>
      <patternFill patternType="solid">
        <fgColor rgb="FFFF9900"/>
        <bgColor rgb="FFF99746"/>
      </patternFill>
    </fill>
    <fill>
      <patternFill patternType="solid">
        <fgColor rgb="FFDD0806"/>
        <bgColor rgb="FFFF0000"/>
      </patternFill>
    </fill>
    <fill>
      <patternFill patternType="solid">
        <fgColor rgb="FFCC99FF"/>
        <bgColor rgb="FFB3A2C7"/>
      </patternFill>
    </fill>
    <fill>
      <patternFill patternType="solid">
        <fgColor rgb="FF000000"/>
        <bgColor rgb="FF003300"/>
      </patternFill>
    </fill>
    <fill>
      <patternFill patternType="solid">
        <fgColor rgb="FF7030A0"/>
        <bgColor rgb="FF993366"/>
      </patternFill>
    </fill>
    <fill>
      <patternFill patternType="solid">
        <fgColor rgb="FF00B050"/>
        <bgColor rgb="FF1FB714"/>
      </patternFill>
    </fill>
    <fill>
      <patternFill patternType="solid">
        <fgColor rgb="FFFF0000"/>
        <bgColor rgb="FFDD0806"/>
      </patternFill>
    </fill>
    <fill>
      <patternFill patternType="solid">
        <fgColor rgb="FFFFC000"/>
        <bgColor rgb="FFFF9900"/>
      </patternFill>
    </fill>
    <fill>
      <patternFill patternType="solid">
        <fgColor rgb="FFF79646"/>
        <bgColor rgb="FFF99746"/>
      </patternFill>
    </fill>
    <fill>
      <patternFill patternType="solid">
        <fgColor rgb="FFF99746"/>
        <bgColor rgb="FFF79646"/>
      </patternFill>
    </fill>
    <fill>
      <patternFill patternType="solid">
        <fgColor rgb="FF00CCFF"/>
        <bgColor rgb="FF33CCCC"/>
      </patternFill>
    </fill>
    <fill>
      <patternFill patternType="solid">
        <fgColor rgb="FF0000D4"/>
        <bgColor rgb="FF0000FF"/>
      </patternFill>
    </fill>
    <fill>
      <patternFill patternType="solid">
        <fgColor rgb="FFFFC000"/>
        <bgColor rgb="FFDD0806"/>
      </patternFill>
    </fill>
    <fill>
      <patternFill patternType="solid">
        <fgColor rgb="FFCD99FF"/>
        <bgColor rgb="FFB3A2C7"/>
      </patternFill>
    </fill>
    <fill>
      <patternFill patternType="solid">
        <fgColor rgb="FF00B050"/>
        <bgColor rgb="FFF79646"/>
      </patternFill>
    </fill>
  </fills>
  <borders count="78">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right/>
      <top style="thin">
        <color auto="1"/>
      </top>
      <bottom/>
      <diagonal/>
    </border>
    <border>
      <left style="medium">
        <color auto="1"/>
      </left>
      <right style="medium">
        <color auto="1"/>
      </right>
      <top/>
      <bottom style="thin">
        <color auto="1"/>
      </bottom>
      <diagonal/>
    </border>
    <border>
      <left style="thin">
        <color auto="1"/>
      </left>
      <right style="thin">
        <color auto="1"/>
      </right>
      <top/>
      <bottom style="thin">
        <color auto="1"/>
      </bottom>
      <diagonal/>
    </border>
    <border>
      <left style="medium">
        <color auto="1"/>
      </left>
      <right style="medium">
        <color auto="1"/>
      </right>
      <top style="thin">
        <color auto="1"/>
      </top>
      <bottom style="thin">
        <color auto="1"/>
      </bottom>
      <diagonal/>
    </border>
    <border>
      <left/>
      <right/>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ck">
        <color auto="1"/>
      </left>
      <right style="medium">
        <color auto="1"/>
      </right>
      <top style="thick">
        <color auto="1"/>
      </top>
      <bottom style="thin">
        <color auto="1"/>
      </bottom>
      <diagonal/>
    </border>
    <border>
      <left style="thin">
        <color auto="1"/>
      </left>
      <right style="medium">
        <color auto="1"/>
      </right>
      <top style="thick">
        <color auto="1"/>
      </top>
      <bottom style="thin">
        <color auto="1"/>
      </bottom>
      <diagonal/>
    </border>
    <border>
      <left style="thin">
        <color auto="1"/>
      </left>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medium">
        <color auto="1"/>
      </right>
      <top style="thin">
        <color auto="1"/>
      </top>
      <bottom style="thin">
        <color auto="1"/>
      </bottom>
      <diagonal/>
    </border>
    <border>
      <left style="thin">
        <color auto="1"/>
      </left>
      <right style="thick">
        <color auto="1"/>
      </right>
      <top style="thin">
        <color auto="1"/>
      </top>
      <bottom style="thin">
        <color auto="1"/>
      </bottom>
      <diagonal/>
    </border>
    <border>
      <left style="thin">
        <color auto="1"/>
      </left>
      <right/>
      <top style="thin">
        <color auto="1"/>
      </top>
      <bottom/>
      <diagonal/>
    </border>
    <border>
      <left/>
      <right style="thick">
        <color auto="1"/>
      </right>
      <top/>
      <bottom/>
      <diagonal/>
    </border>
    <border>
      <left style="thick">
        <color auto="1"/>
      </left>
      <right style="medium">
        <color auto="1"/>
      </right>
      <top style="thin">
        <color auto="1"/>
      </top>
      <bottom style="thick">
        <color auto="1"/>
      </bottom>
      <diagonal/>
    </border>
    <border>
      <left style="thin">
        <color auto="1"/>
      </left>
      <right style="medium">
        <color auto="1"/>
      </right>
      <top style="thin">
        <color auto="1"/>
      </top>
      <bottom style="thick">
        <color auto="1"/>
      </bottom>
      <diagonal/>
    </border>
    <border>
      <left style="thin">
        <color auto="1"/>
      </left>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right style="thin">
        <color auto="1"/>
      </right>
      <top style="thin">
        <color auto="1"/>
      </top>
      <bottom/>
      <diagonal/>
    </border>
    <border>
      <left/>
      <right/>
      <top/>
      <bottom style="medium">
        <color auto="1"/>
      </bottom>
      <diagonal/>
    </border>
    <border>
      <left style="medium">
        <color auto="1"/>
      </left>
      <right style="medium">
        <color auto="1"/>
      </right>
      <top style="thin">
        <color auto="1"/>
      </top>
      <bottom style="medium">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style="thin">
        <color auto="1"/>
      </top>
      <bottom style="medium">
        <color auto="1"/>
      </bottom>
      <diagonal/>
    </border>
    <border>
      <left/>
      <right style="thin">
        <color auto="1"/>
      </right>
      <top style="medium">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thin">
        <color auto="1"/>
      </top>
      <bottom/>
      <diagonal/>
    </border>
    <border>
      <left style="thin">
        <color auto="1"/>
      </left>
      <right/>
      <top style="medium">
        <color auto="1"/>
      </top>
      <bottom style="medium">
        <color auto="1"/>
      </bottom>
      <diagonal/>
    </border>
    <border>
      <left/>
      <right/>
      <top style="medium">
        <color auto="1"/>
      </top>
      <bottom style="thin">
        <color auto="1"/>
      </bottom>
      <diagonal/>
    </border>
  </borders>
  <cellStyleXfs count="2">
    <xf numFmtId="0" fontId="0" fillId="0" borderId="0"/>
    <xf numFmtId="0" fontId="1" fillId="0" borderId="0"/>
  </cellStyleXfs>
  <cellXfs count="309">
    <xf numFmtId="0" fontId="0" fillId="0" borderId="0" xfId="0"/>
    <xf numFmtId="0" fontId="1" fillId="0" borderId="0" xfId="0" applyFont="1"/>
    <xf numFmtId="0" fontId="0" fillId="0" borderId="0" xfId="0" applyAlignment="1">
      <alignment wrapText="1"/>
    </xf>
    <xf numFmtId="0" fontId="2" fillId="3" borderId="1" xfId="0" applyFont="1" applyFill="1" applyBorder="1"/>
    <xf numFmtId="0" fontId="0" fillId="3" borderId="2" xfId="0" applyFill="1" applyBorder="1"/>
    <xf numFmtId="0" fontId="0" fillId="0" borderId="0" xfId="0" applyBorder="1"/>
    <xf numFmtId="0" fontId="0" fillId="4" borderId="3" xfId="0" applyFill="1" applyBorder="1"/>
    <xf numFmtId="0" fontId="0" fillId="0" borderId="4" xfId="0" applyFont="1" applyBorder="1" applyAlignment="1">
      <alignment wrapText="1"/>
    </xf>
    <xf numFmtId="0" fontId="0" fillId="0" borderId="0" xfId="0" applyBorder="1" applyAlignment="1">
      <alignment wrapText="1"/>
    </xf>
    <xf numFmtId="0" fontId="2" fillId="5" borderId="5" xfId="0" applyFont="1" applyFill="1" applyBorder="1"/>
    <xf numFmtId="0" fontId="0" fillId="0" borderId="6" xfId="0" applyFont="1" applyBorder="1"/>
    <xf numFmtId="0" fontId="1" fillId="6" borderId="7" xfId="0" applyFont="1" applyFill="1" applyBorder="1"/>
    <xf numFmtId="0" fontId="0" fillId="0" borderId="8" xfId="0" applyFont="1" applyBorder="1" applyAlignment="1">
      <alignment wrapText="1"/>
    </xf>
    <xf numFmtId="0" fontId="1" fillId="0" borderId="6" xfId="0" applyFont="1" applyBorder="1"/>
    <xf numFmtId="0" fontId="0" fillId="7" borderId="9" xfId="0" applyFill="1" applyBorder="1"/>
    <xf numFmtId="0" fontId="1" fillId="0" borderId="0" xfId="0" applyFont="1" applyBorder="1" applyAlignment="1">
      <alignment horizontal="left" vertical="top" wrapText="1"/>
    </xf>
    <xf numFmtId="0" fontId="2" fillId="5" borderId="10" xfId="0" applyFont="1" applyFill="1" applyBorder="1"/>
    <xf numFmtId="0" fontId="0" fillId="0" borderId="11" xfId="0" applyFont="1" applyBorder="1"/>
    <xf numFmtId="0" fontId="2" fillId="0" borderId="0" xfId="0" applyFont="1" applyBorder="1"/>
    <xf numFmtId="0" fontId="0" fillId="9" borderId="12" xfId="0" applyFill="1" applyBorder="1"/>
    <xf numFmtId="0" fontId="0" fillId="0" borderId="13" xfId="0" applyFont="1" applyBorder="1" applyAlignment="1">
      <alignment wrapText="1"/>
    </xf>
    <xf numFmtId="0" fontId="2" fillId="3" borderId="14" xfId="0" applyFont="1" applyFill="1" applyBorder="1"/>
    <xf numFmtId="0" fontId="2" fillId="3" borderId="15" xfId="0" applyFont="1" applyFill="1" applyBorder="1"/>
    <xf numFmtId="0" fontId="2" fillId="3" borderId="4" xfId="0" applyFont="1" applyFill="1" applyBorder="1"/>
    <xf numFmtId="0" fontId="2" fillId="3" borderId="14" xfId="0" applyFont="1" applyFill="1" applyBorder="1" applyAlignment="1">
      <alignment wrapText="1"/>
    </xf>
    <xf numFmtId="167" fontId="2" fillId="5" borderId="9" xfId="0" applyNumberFormat="1" applyFont="1" applyFill="1" applyBorder="1" applyAlignment="1">
      <alignment wrapText="1"/>
    </xf>
    <xf numFmtId="0" fontId="2" fillId="3" borderId="2" xfId="0" applyFont="1" applyFill="1" applyBorder="1" applyAlignment="1">
      <alignment wrapText="1"/>
    </xf>
    <xf numFmtId="0" fontId="0" fillId="10" borderId="16" xfId="0" applyFill="1" applyBorder="1"/>
    <xf numFmtId="0" fontId="1" fillId="0" borderId="16" xfId="0" applyFont="1" applyBorder="1" applyAlignment="1">
      <alignment horizontal="left" vertical="top" wrapText="1"/>
    </xf>
    <xf numFmtId="9" fontId="1" fillId="0" borderId="17" xfId="0" applyNumberFormat="1" applyFont="1" applyBorder="1" applyAlignment="1">
      <alignment horizontal="left" vertical="top" wrapText="1"/>
    </xf>
    <xf numFmtId="9" fontId="1" fillId="11" borderId="18" xfId="0" applyNumberFormat="1" applyFont="1" applyFill="1" applyBorder="1" applyAlignment="1">
      <alignment horizontal="left" vertical="top" wrapText="1"/>
    </xf>
    <xf numFmtId="0" fontId="0" fillId="0" borderId="19" xfId="0" applyBorder="1" applyAlignment="1">
      <alignment wrapText="1"/>
    </xf>
    <xf numFmtId="0" fontId="2" fillId="3" borderId="6" xfId="0" applyFont="1" applyFill="1" applyBorder="1" applyAlignment="1">
      <alignment wrapText="1"/>
    </xf>
    <xf numFmtId="9" fontId="1" fillId="0" borderId="20" xfId="0" applyNumberFormat="1" applyFont="1" applyBorder="1" applyAlignment="1">
      <alignment horizontal="left" vertical="top" wrapText="1"/>
    </xf>
    <xf numFmtId="0" fontId="1" fillId="0" borderId="19" xfId="0" applyFont="1" applyBorder="1" applyAlignment="1">
      <alignment wrapText="1"/>
    </xf>
    <xf numFmtId="1" fontId="1" fillId="0" borderId="17" xfId="0" applyNumberFormat="1" applyFont="1" applyBorder="1" applyAlignment="1">
      <alignment horizontal="left" vertical="top" wrapText="1"/>
    </xf>
    <xf numFmtId="0" fontId="0" fillId="11" borderId="18" xfId="0" applyFill="1" applyBorder="1" applyAlignment="1">
      <alignment horizontal="left"/>
    </xf>
    <xf numFmtId="0" fontId="0" fillId="0" borderId="16" xfId="0" applyBorder="1"/>
    <xf numFmtId="0" fontId="0" fillId="12" borderId="18" xfId="0" applyFill="1" applyBorder="1" applyAlignment="1">
      <alignment horizontal="left"/>
    </xf>
    <xf numFmtId="0" fontId="0" fillId="0" borderId="19" xfId="0" applyFont="1" applyBorder="1" applyAlignment="1">
      <alignment wrapText="1"/>
    </xf>
    <xf numFmtId="0" fontId="2" fillId="5" borderId="21" xfId="0" applyFont="1" applyFill="1" applyBorder="1" applyAlignment="1">
      <alignment wrapText="1"/>
    </xf>
    <xf numFmtId="0" fontId="1" fillId="10" borderId="22" xfId="0" applyFont="1" applyFill="1" applyBorder="1" applyAlignment="1">
      <alignment wrapText="1"/>
    </xf>
    <xf numFmtId="0" fontId="1" fillId="0" borderId="22" xfId="0" applyFont="1" applyBorder="1" applyAlignment="1">
      <alignment horizontal="left" vertical="top" wrapText="1"/>
    </xf>
    <xf numFmtId="0" fontId="2" fillId="5" borderId="23" xfId="0" applyFont="1" applyFill="1" applyBorder="1" applyAlignment="1">
      <alignment wrapText="1"/>
    </xf>
    <xf numFmtId="0" fontId="1" fillId="2" borderId="16" xfId="0" applyFont="1" applyFill="1" applyBorder="1" applyAlignment="1">
      <alignment wrapText="1"/>
    </xf>
    <xf numFmtId="9" fontId="1" fillId="13" borderId="24" xfId="0" applyNumberFormat="1" applyFont="1" applyFill="1" applyBorder="1" applyAlignment="1">
      <alignment horizontal="left" vertical="top" wrapText="1"/>
    </xf>
    <xf numFmtId="9" fontId="1" fillId="12" borderId="24" xfId="0" applyNumberFormat="1" applyFont="1" applyFill="1" applyBorder="1" applyAlignment="1">
      <alignment horizontal="left" vertical="top" wrapText="1"/>
    </xf>
    <xf numFmtId="9" fontId="1" fillId="11" borderId="24" xfId="0" applyNumberFormat="1" applyFont="1" applyFill="1" applyBorder="1" applyAlignment="1">
      <alignment horizontal="left" vertical="top" wrapText="1"/>
    </xf>
    <xf numFmtId="167" fontId="2" fillId="0" borderId="9" xfId="0" applyNumberFormat="1" applyFont="1" applyBorder="1" applyAlignment="1">
      <alignment wrapText="1"/>
    </xf>
    <xf numFmtId="0" fontId="2" fillId="0" borderId="23" xfId="0" applyFont="1" applyBorder="1" applyAlignment="1">
      <alignment wrapText="1"/>
    </xf>
    <xf numFmtId="0" fontId="0" fillId="0" borderId="25" xfId="0" applyBorder="1" applyAlignment="1">
      <alignment wrapText="1"/>
    </xf>
    <xf numFmtId="0" fontId="0" fillId="0" borderId="16" xfId="0" applyBorder="1" applyAlignment="1">
      <alignment wrapText="1"/>
    </xf>
    <xf numFmtId="9" fontId="1" fillId="0" borderId="26" xfId="0" applyNumberFormat="1" applyFont="1" applyBorder="1" applyAlignment="1">
      <alignment horizontal="left" vertical="top" wrapText="1"/>
    </xf>
    <xf numFmtId="9" fontId="1" fillId="0" borderId="24" xfId="0" applyNumberFormat="1" applyFont="1" applyBorder="1" applyAlignment="1">
      <alignment horizontal="left" vertical="top" wrapText="1"/>
    </xf>
    <xf numFmtId="0" fontId="2" fillId="5" borderId="27" xfId="0" applyFont="1" applyFill="1" applyBorder="1" applyAlignment="1">
      <alignment wrapText="1"/>
    </xf>
    <xf numFmtId="0" fontId="1" fillId="10" borderId="16" xfId="0" applyFont="1" applyFill="1" applyBorder="1" applyAlignment="1">
      <alignment wrapText="1"/>
    </xf>
    <xf numFmtId="0" fontId="1" fillId="0" borderId="16" xfId="0" applyFont="1" applyBorder="1" applyAlignment="1">
      <alignment vertical="top"/>
    </xf>
    <xf numFmtId="9" fontId="0" fillId="11" borderId="17" xfId="0" applyNumberFormat="1" applyFont="1" applyFill="1" applyBorder="1" applyAlignment="1">
      <alignment horizontal="left" vertical="top" wrapText="1"/>
    </xf>
    <xf numFmtId="9" fontId="0" fillId="11" borderId="16" xfId="0" applyNumberFormat="1" applyFont="1" applyFill="1" applyBorder="1" applyAlignment="1">
      <alignment horizontal="left" vertical="top" wrapText="1"/>
    </xf>
    <xf numFmtId="0" fontId="2" fillId="5" borderId="6" xfId="0" applyFont="1" applyFill="1" applyBorder="1" applyAlignment="1">
      <alignment wrapText="1"/>
    </xf>
    <xf numFmtId="0" fontId="0" fillId="10" borderId="16" xfId="0" applyFill="1" applyBorder="1" applyAlignment="1">
      <alignment wrapText="1"/>
    </xf>
    <xf numFmtId="9" fontId="1" fillId="11" borderId="17" xfId="0" applyNumberFormat="1" applyFont="1" applyFill="1" applyBorder="1" applyAlignment="1">
      <alignment horizontal="left" vertical="top" wrapText="1"/>
    </xf>
    <xf numFmtId="9" fontId="1" fillId="14" borderId="16" xfId="0" applyNumberFormat="1" applyFont="1" applyFill="1" applyBorder="1" applyAlignment="1">
      <alignment horizontal="left" vertical="top" wrapText="1"/>
    </xf>
    <xf numFmtId="9" fontId="1" fillId="11" borderId="16" xfId="0" applyNumberFormat="1" applyFont="1" applyFill="1" applyBorder="1" applyAlignment="1">
      <alignment horizontal="left" vertical="top" wrapText="1"/>
    </xf>
    <xf numFmtId="0" fontId="0" fillId="0" borderId="19" xfId="0" applyFont="1" applyBorder="1" applyAlignment="1" applyProtection="1">
      <alignment horizontal="left" vertical="top" wrapText="1"/>
    </xf>
    <xf numFmtId="0" fontId="1" fillId="0" borderId="17" xfId="0" applyFont="1" applyBorder="1" applyAlignment="1">
      <alignment horizontal="left" vertical="top" wrapText="1"/>
    </xf>
    <xf numFmtId="2" fontId="1" fillId="11" borderId="17" xfId="0" applyNumberFormat="1" applyFont="1" applyFill="1" applyBorder="1" applyAlignment="1">
      <alignment horizontal="left" vertical="top" wrapText="1"/>
    </xf>
    <xf numFmtId="2" fontId="1" fillId="11" borderId="16" xfId="0" applyNumberFormat="1" applyFont="1" applyFill="1" applyBorder="1" applyAlignment="1">
      <alignment horizontal="left" vertical="top" wrapText="1"/>
    </xf>
    <xf numFmtId="0" fontId="1" fillId="0" borderId="19" xfId="0" applyFont="1" applyBorder="1" applyAlignment="1">
      <alignment horizontal="left" vertical="top" wrapText="1"/>
    </xf>
    <xf numFmtId="10" fontId="1" fillId="11" borderId="17" xfId="0" applyNumberFormat="1" applyFont="1" applyFill="1" applyBorder="1" applyAlignment="1">
      <alignment horizontal="left" vertical="top" wrapText="1"/>
    </xf>
    <xf numFmtId="10" fontId="1" fillId="11" borderId="16" xfId="0" applyNumberFormat="1" applyFont="1" applyFill="1" applyBorder="1" applyAlignment="1">
      <alignment horizontal="left" vertical="top" wrapText="1"/>
    </xf>
    <xf numFmtId="2" fontId="1" fillId="11" borderId="24" xfId="0" applyNumberFormat="1" applyFont="1" applyFill="1" applyBorder="1" applyAlignment="1">
      <alignment horizontal="left" vertical="top" wrapText="1"/>
    </xf>
    <xf numFmtId="0" fontId="1" fillId="0" borderId="28" xfId="0" applyFont="1" applyBorder="1" applyAlignment="1">
      <alignment wrapText="1"/>
    </xf>
    <xf numFmtId="167" fontId="2" fillId="5" borderId="23" xfId="0" applyNumberFormat="1" applyFont="1" applyFill="1" applyBorder="1" applyAlignment="1">
      <alignment wrapText="1"/>
    </xf>
    <xf numFmtId="168" fontId="1" fillId="12" borderId="17" xfId="0" applyNumberFormat="1" applyFont="1" applyFill="1" applyBorder="1" applyAlignment="1">
      <alignment horizontal="left" vertical="top" wrapText="1"/>
    </xf>
    <xf numFmtId="168" fontId="1" fillId="13" borderId="17" xfId="0" applyNumberFormat="1" applyFont="1" applyFill="1" applyBorder="1" applyAlignment="1">
      <alignment horizontal="left" vertical="top" wrapText="1"/>
    </xf>
    <xf numFmtId="168" fontId="1" fillId="11" borderId="17" xfId="0" applyNumberFormat="1" applyFont="1" applyFill="1" applyBorder="1" applyAlignment="1">
      <alignment horizontal="left" vertical="top" wrapText="1"/>
    </xf>
    <xf numFmtId="168" fontId="1" fillId="14" borderId="17" xfId="0" applyNumberFormat="1" applyFont="1" applyFill="1" applyBorder="1" applyAlignment="1">
      <alignment horizontal="left" vertical="top" wrapText="1"/>
    </xf>
    <xf numFmtId="0" fontId="1" fillId="0" borderId="6" xfId="0" applyFont="1" applyBorder="1" applyAlignment="1">
      <alignment wrapText="1"/>
    </xf>
    <xf numFmtId="0" fontId="1" fillId="0" borderId="6" xfId="0" applyFont="1" applyBorder="1" applyAlignment="1">
      <alignment vertical="top" wrapText="1"/>
    </xf>
    <xf numFmtId="9" fontId="1" fillId="12" borderId="17" xfId="0" applyNumberFormat="1" applyFont="1" applyFill="1" applyBorder="1" applyAlignment="1">
      <alignment horizontal="left" vertical="top" wrapText="1"/>
    </xf>
    <xf numFmtId="9" fontId="1" fillId="13" borderId="17" xfId="0" applyNumberFormat="1" applyFont="1" applyFill="1" applyBorder="1" applyAlignment="1">
      <alignment horizontal="left" vertical="top" wrapText="1"/>
    </xf>
    <xf numFmtId="9" fontId="1" fillId="15" borderId="17" xfId="0" applyNumberFormat="1" applyFont="1" applyFill="1" applyBorder="1" applyAlignment="1">
      <alignment horizontal="left" vertical="top" wrapText="1"/>
    </xf>
    <xf numFmtId="0" fontId="1" fillId="0" borderId="6" xfId="0" applyFont="1" applyBorder="1" applyAlignment="1">
      <alignment vertical="center" wrapText="1"/>
    </xf>
    <xf numFmtId="0" fontId="0" fillId="0" borderId="6" xfId="0" applyBorder="1" applyAlignment="1">
      <alignment wrapText="1"/>
    </xf>
    <xf numFmtId="167" fontId="2" fillId="0" borderId="29" xfId="0" applyNumberFormat="1" applyFont="1" applyBorder="1" applyAlignment="1">
      <alignment wrapText="1"/>
    </xf>
    <xf numFmtId="0" fontId="2" fillId="0" borderId="21" xfId="0" applyFont="1" applyBorder="1" applyAlignment="1">
      <alignment wrapText="1"/>
    </xf>
    <xf numFmtId="0" fontId="0" fillId="0" borderId="30" xfId="0" applyBorder="1" applyAlignment="1">
      <alignment wrapText="1"/>
    </xf>
    <xf numFmtId="0" fontId="0" fillId="0" borderId="22" xfId="0" applyBorder="1" applyAlignment="1">
      <alignment wrapText="1"/>
    </xf>
    <xf numFmtId="0" fontId="2" fillId="3" borderId="27" xfId="0" applyFont="1" applyFill="1" applyBorder="1" applyAlignment="1">
      <alignment wrapText="1"/>
    </xf>
    <xf numFmtId="9" fontId="1" fillId="14" borderId="17" xfId="0" applyNumberFormat="1" applyFont="1" applyFill="1" applyBorder="1" applyAlignment="1">
      <alignment horizontal="left" vertical="top" wrapText="1"/>
    </xf>
    <xf numFmtId="2" fontId="0" fillId="11" borderId="17" xfId="0" applyNumberFormat="1" applyFill="1" applyBorder="1" applyAlignment="1">
      <alignment wrapText="1"/>
    </xf>
    <xf numFmtId="10" fontId="0" fillId="11" borderId="17" xfId="0" applyNumberFormat="1" applyFill="1" applyBorder="1" applyAlignment="1">
      <alignment wrapText="1"/>
    </xf>
    <xf numFmtId="0" fontId="2" fillId="3" borderId="11" xfId="0" applyFont="1" applyFill="1" applyBorder="1" applyAlignment="1">
      <alignment wrapText="1"/>
    </xf>
    <xf numFmtId="0" fontId="0" fillId="11" borderId="17" xfId="0" applyFill="1" applyBorder="1" applyAlignment="1">
      <alignment wrapText="1"/>
    </xf>
    <xf numFmtId="1" fontId="0" fillId="11" borderId="17" xfId="0" applyNumberFormat="1" applyFill="1" applyBorder="1" applyAlignment="1">
      <alignment wrapText="1"/>
    </xf>
    <xf numFmtId="167" fontId="2" fillId="0" borderId="0" xfId="0" applyNumberFormat="1" applyFont="1" applyBorder="1" applyAlignment="1">
      <alignment wrapText="1"/>
    </xf>
    <xf numFmtId="0" fontId="0" fillId="5" borderId="31" xfId="0" applyFont="1" applyFill="1" applyBorder="1" applyAlignment="1">
      <alignment horizontal="justify" wrapText="1"/>
    </xf>
    <xf numFmtId="0" fontId="0" fillId="5" borderId="32" xfId="0" applyFill="1" applyBorder="1" applyAlignment="1">
      <alignment horizontal="justify" wrapText="1"/>
    </xf>
    <xf numFmtId="0" fontId="0" fillId="5" borderId="33" xfId="0" applyFont="1" applyFill="1" applyBorder="1" applyAlignment="1">
      <alignment horizontal="justify" wrapText="1"/>
    </xf>
    <xf numFmtId="0" fontId="0" fillId="0" borderId="34" xfId="0" applyBorder="1"/>
    <xf numFmtId="0" fontId="0" fillId="0" borderId="34" xfId="0" applyFont="1" applyBorder="1" applyAlignment="1">
      <alignment vertical="top"/>
    </xf>
    <xf numFmtId="0" fontId="0" fillId="0" borderId="34" xfId="0" applyBorder="1" applyAlignment="1">
      <alignment wrapText="1"/>
    </xf>
    <xf numFmtId="0" fontId="0" fillId="0" borderId="33" xfId="0" applyBorder="1" applyAlignment="1">
      <alignment wrapText="1"/>
    </xf>
    <xf numFmtId="0" fontId="1" fillId="0" borderId="35" xfId="0" applyFont="1" applyBorder="1" applyAlignment="1">
      <alignment wrapText="1"/>
    </xf>
    <xf numFmtId="0" fontId="0" fillId="5" borderId="36" xfId="0" applyFont="1" applyFill="1" applyBorder="1" applyAlignment="1">
      <alignment horizontal="justify" wrapText="1"/>
    </xf>
    <xf numFmtId="0" fontId="0" fillId="5" borderId="6" xfId="0" applyFill="1" applyBorder="1" applyAlignment="1">
      <alignment horizontal="justify" wrapText="1"/>
    </xf>
    <xf numFmtId="0" fontId="0" fillId="5" borderId="17" xfId="0" applyFont="1" applyFill="1" applyBorder="1" applyAlignment="1">
      <alignment horizontal="justify" wrapText="1"/>
    </xf>
    <xf numFmtId="0" fontId="0" fillId="0" borderId="16" xfId="0" applyFont="1" applyBorder="1" applyAlignment="1">
      <alignment vertical="top"/>
    </xf>
    <xf numFmtId="0" fontId="0" fillId="0" borderId="17" xfId="0" applyBorder="1" applyAlignment="1">
      <alignment wrapText="1"/>
    </xf>
    <xf numFmtId="0" fontId="0" fillId="0" borderId="37" xfId="0" applyBorder="1"/>
    <xf numFmtId="0" fontId="1" fillId="5" borderId="38" xfId="0" applyFont="1" applyFill="1" applyBorder="1" applyAlignment="1">
      <alignment horizontal="justify" wrapText="1"/>
    </xf>
    <xf numFmtId="0" fontId="1" fillId="0" borderId="37" xfId="0" applyFont="1" applyBorder="1" applyAlignment="1">
      <alignment wrapText="1"/>
    </xf>
    <xf numFmtId="0" fontId="0" fillId="5" borderId="36" xfId="0" applyFont="1" applyFill="1" applyBorder="1" applyAlignment="1">
      <alignment horizontal="justify" vertical="center" wrapText="1"/>
    </xf>
    <xf numFmtId="0" fontId="0" fillId="5" borderId="6" xfId="0" applyFill="1" applyBorder="1" applyAlignment="1">
      <alignment horizontal="justify" vertical="center" wrapText="1"/>
    </xf>
    <xf numFmtId="0" fontId="1" fillId="5" borderId="38" xfId="0" applyFont="1" applyFill="1" applyBorder="1" applyAlignment="1">
      <alignment horizontal="justify" vertical="center" wrapText="1"/>
    </xf>
    <xf numFmtId="0" fontId="0" fillId="0" borderId="16" xfId="0" applyBorder="1" applyAlignment="1">
      <alignment vertical="center"/>
    </xf>
    <xf numFmtId="0" fontId="0" fillId="0" borderId="16" xfId="0" applyFont="1" applyBorder="1" applyAlignment="1">
      <alignment vertical="center"/>
    </xf>
    <xf numFmtId="0" fontId="1" fillId="0" borderId="16" xfId="0" applyFont="1" applyBorder="1" applyAlignment="1">
      <alignment vertical="center"/>
    </xf>
    <xf numFmtId="0" fontId="0" fillId="0" borderId="16" xfId="0" applyBorder="1" applyAlignment="1">
      <alignment vertical="center" wrapText="1"/>
    </xf>
    <xf numFmtId="9" fontId="0" fillId="11" borderId="16" xfId="0" applyNumberFormat="1" applyFill="1" applyBorder="1" applyAlignment="1">
      <alignment vertical="center" wrapText="1"/>
    </xf>
    <xf numFmtId="9" fontId="0" fillId="11" borderId="0" xfId="0" applyNumberFormat="1" applyFill="1" applyBorder="1" applyAlignment="1">
      <alignment vertical="center" wrapText="1"/>
    </xf>
    <xf numFmtId="0" fontId="1" fillId="0" borderId="39" xfId="0" applyFont="1" applyBorder="1" applyAlignment="1">
      <alignment vertical="center" wrapText="1"/>
    </xf>
    <xf numFmtId="0" fontId="0" fillId="0" borderId="0" xfId="0" applyAlignment="1">
      <alignment vertical="center"/>
    </xf>
    <xf numFmtId="0" fontId="0" fillId="5" borderId="40" xfId="0" applyFont="1" applyFill="1" applyBorder="1" applyAlignment="1">
      <alignment horizontal="justify" vertical="center" wrapText="1"/>
    </xf>
    <xf numFmtId="0" fontId="0" fillId="5" borderId="41" xfId="0" applyFill="1" applyBorder="1" applyAlignment="1">
      <alignment horizontal="justify" vertical="center" wrapText="1"/>
    </xf>
    <xf numFmtId="0" fontId="1" fillId="5" borderId="42" xfId="0" applyFont="1" applyFill="1" applyBorder="1" applyAlignment="1">
      <alignment horizontal="justify" vertical="center" wrapText="1"/>
    </xf>
    <xf numFmtId="0" fontId="0" fillId="0" borderId="43" xfId="0" applyBorder="1" applyAlignment="1">
      <alignment vertical="center"/>
    </xf>
    <xf numFmtId="0" fontId="0" fillId="0" borderId="43" xfId="0" applyFont="1" applyBorder="1" applyAlignment="1">
      <alignment vertical="center"/>
    </xf>
    <xf numFmtId="0" fontId="1" fillId="0" borderId="43" xfId="0" applyFont="1" applyBorder="1" applyAlignment="1">
      <alignment vertical="center"/>
    </xf>
    <xf numFmtId="0" fontId="0" fillId="11" borderId="43" xfId="0" applyFill="1" applyBorder="1" applyAlignment="1">
      <alignment wrapText="1"/>
    </xf>
    <xf numFmtId="0" fontId="0" fillId="11" borderId="42" xfId="0" applyFill="1" applyBorder="1" applyAlignment="1">
      <alignment wrapText="1"/>
    </xf>
    <xf numFmtId="0" fontId="1" fillId="0" borderId="44" xfId="0" applyFont="1" applyBorder="1" applyAlignment="1">
      <alignment vertical="center" wrapText="1"/>
    </xf>
    <xf numFmtId="0" fontId="2" fillId="3" borderId="45" xfId="0" applyFont="1" applyFill="1" applyBorder="1"/>
    <xf numFmtId="0" fontId="0" fillId="3" borderId="46" xfId="0" applyFill="1" applyBorder="1"/>
    <xf numFmtId="0" fontId="0" fillId="4" borderId="47" xfId="0" applyFill="1" applyBorder="1"/>
    <xf numFmtId="0" fontId="0" fillId="0" borderId="48" xfId="0" applyFont="1" applyBorder="1"/>
    <xf numFmtId="0" fontId="0" fillId="16" borderId="0" xfId="0" applyFill="1"/>
    <xf numFmtId="0" fontId="2" fillId="5" borderId="1" xfId="0" applyFont="1" applyFill="1" applyBorder="1"/>
    <xf numFmtId="0" fontId="0" fillId="0" borderId="2" xfId="0" applyBorder="1"/>
    <xf numFmtId="0" fontId="0" fillId="7" borderId="7" xfId="0" applyFill="1" applyBorder="1"/>
    <xf numFmtId="0" fontId="0" fillId="0" borderId="49" xfId="0" applyFont="1" applyBorder="1"/>
    <xf numFmtId="0" fontId="0" fillId="6" borderId="0" xfId="0" applyFill="1"/>
    <xf numFmtId="0" fontId="0" fillId="0" borderId="7" xfId="0" applyBorder="1"/>
    <xf numFmtId="0" fontId="0" fillId="17" borderId="0" xfId="0" applyFill="1"/>
    <xf numFmtId="0" fontId="0" fillId="0" borderId="50" xfId="0" applyFont="1" applyBorder="1"/>
    <xf numFmtId="0" fontId="0" fillId="8" borderId="0" xfId="0" applyFill="1"/>
    <xf numFmtId="0" fontId="2" fillId="5" borderId="0" xfId="0" applyFont="1" applyFill="1" applyBorder="1"/>
    <xf numFmtId="0" fontId="2" fillId="11" borderId="51" xfId="0" applyFont="1" applyFill="1" applyBorder="1" applyAlignment="1">
      <alignment horizontal="right"/>
    </xf>
    <xf numFmtId="0" fontId="0" fillId="11" borderId="6" xfId="0" applyFont="1" applyFill="1" applyBorder="1" applyAlignment="1">
      <alignment wrapText="1"/>
    </xf>
    <xf numFmtId="0" fontId="1" fillId="11" borderId="6" xfId="0" applyFont="1" applyFill="1" applyBorder="1" applyAlignment="1">
      <alignment wrapText="1"/>
    </xf>
    <xf numFmtId="17" fontId="1" fillId="11" borderId="16" xfId="0" applyNumberFormat="1" applyFont="1" applyFill="1" applyBorder="1"/>
    <xf numFmtId="0" fontId="1" fillId="11" borderId="6" xfId="0" applyFont="1" applyFill="1" applyBorder="1" applyAlignment="1">
      <alignment vertical="top" wrapText="1"/>
    </xf>
    <xf numFmtId="17" fontId="1" fillId="11" borderId="6" xfId="0" applyNumberFormat="1" applyFont="1" applyFill="1" applyBorder="1" applyAlignment="1">
      <alignment vertical="top" wrapText="1"/>
    </xf>
    <xf numFmtId="0" fontId="3" fillId="11" borderId="6" xfId="0" applyFont="1" applyFill="1" applyBorder="1" applyAlignment="1">
      <alignment vertical="top" wrapText="1"/>
    </xf>
    <xf numFmtId="15" fontId="1" fillId="11" borderId="6" xfId="0" applyNumberFormat="1" applyFont="1" applyFill="1" applyBorder="1" applyAlignment="1">
      <alignment vertical="top" wrapText="1"/>
    </xf>
    <xf numFmtId="0" fontId="2" fillId="12" borderId="51" xfId="0" applyFont="1" applyFill="1" applyBorder="1" applyAlignment="1">
      <alignment horizontal="right"/>
    </xf>
    <xf numFmtId="0" fontId="1" fillId="12" borderId="6" xfId="0" applyFont="1" applyFill="1" applyBorder="1" applyAlignment="1">
      <alignment wrapText="1"/>
    </xf>
    <xf numFmtId="17" fontId="1" fillId="12" borderId="16" xfId="0" applyNumberFormat="1" applyFont="1" applyFill="1" applyBorder="1"/>
    <xf numFmtId="0" fontId="1" fillId="12" borderId="6" xfId="0" applyFont="1" applyFill="1" applyBorder="1" applyAlignment="1">
      <alignment vertical="top" wrapText="1"/>
    </xf>
    <xf numFmtId="0" fontId="2" fillId="5" borderId="51" xfId="0" applyFont="1" applyFill="1" applyBorder="1" applyAlignment="1">
      <alignment horizontal="right"/>
    </xf>
    <xf numFmtId="0" fontId="1" fillId="5" borderId="6" xfId="0" applyFont="1" applyFill="1" applyBorder="1" applyAlignment="1">
      <alignment wrapText="1"/>
    </xf>
    <xf numFmtId="17" fontId="1" fillId="5" borderId="16" xfId="0" applyNumberFormat="1" applyFont="1" applyFill="1" applyBorder="1"/>
    <xf numFmtId="0" fontId="0" fillId="5" borderId="6" xfId="0" applyFont="1" applyFill="1" applyBorder="1" applyAlignment="1">
      <alignment wrapText="1"/>
    </xf>
    <xf numFmtId="0" fontId="4" fillId="0" borderId="0" xfId="0" applyFont="1"/>
    <xf numFmtId="0" fontId="5" fillId="0" borderId="45" xfId="0" applyFont="1" applyBorder="1"/>
    <xf numFmtId="0" fontId="5" fillId="0" borderId="46" xfId="0" applyFont="1" applyBorder="1"/>
    <xf numFmtId="0" fontId="5" fillId="0" borderId="51" xfId="0" applyFont="1" applyBorder="1"/>
    <xf numFmtId="0" fontId="4" fillId="0" borderId="27" xfId="0" applyFont="1" applyBorder="1"/>
    <xf numFmtId="0" fontId="5" fillId="0" borderId="5" xfId="0" applyFont="1" applyBorder="1"/>
    <xf numFmtId="0" fontId="5" fillId="0" borderId="10" xfId="0" applyFont="1" applyBorder="1"/>
    <xf numFmtId="0" fontId="4" fillId="0" borderId="11" xfId="0" applyFont="1" applyBorder="1"/>
    <xf numFmtId="0" fontId="5" fillId="0" borderId="0" xfId="0" applyFont="1"/>
    <xf numFmtId="0" fontId="5" fillId="0" borderId="52" xfId="0" applyFont="1" applyBorder="1" applyAlignment="1">
      <alignment wrapText="1"/>
    </xf>
    <xf numFmtId="0" fontId="5" fillId="0" borderId="53" xfId="0" applyFont="1" applyBorder="1" applyAlignment="1">
      <alignment wrapText="1"/>
    </xf>
    <xf numFmtId="0" fontId="5" fillId="0" borderId="15" xfId="0" applyFont="1" applyBorder="1" applyAlignment="1">
      <alignment wrapText="1"/>
    </xf>
    <xf numFmtId="0" fontId="5" fillId="0" borderId="4" xfId="0" applyFont="1" applyBorder="1" applyAlignment="1">
      <alignment wrapText="1"/>
    </xf>
    <xf numFmtId="0" fontId="5" fillId="0" borderId="47" xfId="0" applyFont="1" applyBorder="1" applyAlignment="1">
      <alignment wrapText="1"/>
    </xf>
    <xf numFmtId="0" fontId="5" fillId="0" borderId="54" xfId="0" applyFont="1" applyBorder="1" applyAlignment="1">
      <alignment horizontal="center" wrapText="1"/>
    </xf>
    <xf numFmtId="0" fontId="5" fillId="0" borderId="55" xfId="0" applyFont="1" applyBorder="1" applyAlignment="1">
      <alignment horizontal="center" wrapText="1"/>
    </xf>
    <xf numFmtId="0" fontId="5" fillId="0" borderId="48" xfId="0" applyFont="1" applyBorder="1" applyAlignment="1">
      <alignment horizontal="center" wrapText="1"/>
    </xf>
    <xf numFmtId="0" fontId="5" fillId="0" borderId="56" xfId="0" applyFont="1" applyBorder="1" applyAlignment="1">
      <alignment horizontal="center" wrapText="1"/>
    </xf>
    <xf numFmtId="0" fontId="5" fillId="0" borderId="57" xfId="0" applyFont="1" applyBorder="1" applyAlignment="1">
      <alignment horizontal="center" wrapText="1"/>
    </xf>
    <xf numFmtId="0" fontId="5" fillId="0" borderId="58" xfId="0" applyFont="1" applyBorder="1" applyAlignment="1">
      <alignment wrapText="1"/>
    </xf>
    <xf numFmtId="0" fontId="5" fillId="0" borderId="59" xfId="1" applyFont="1" applyBorder="1"/>
    <xf numFmtId="0" fontId="5" fillId="0" borderId="59" xfId="0" applyFont="1" applyBorder="1" applyAlignment="1">
      <alignment wrapText="1"/>
    </xf>
    <xf numFmtId="2" fontId="4" fillId="11" borderId="60" xfId="0" applyNumberFormat="1" applyFont="1" applyFill="1" applyBorder="1" applyAlignment="1">
      <alignment wrapText="1"/>
    </xf>
    <xf numFmtId="2" fontId="4" fillId="0" borderId="60" xfId="0" applyNumberFormat="1" applyFont="1" applyBorder="1" applyAlignment="1">
      <alignment wrapText="1"/>
    </xf>
    <xf numFmtId="2" fontId="4" fillId="0" borderId="61" xfId="0" applyNumberFormat="1" applyFont="1" applyBorder="1" applyAlignment="1">
      <alignment wrapText="1"/>
    </xf>
    <xf numFmtId="2" fontId="4" fillId="0" borderId="2" xfId="0" applyNumberFormat="1" applyFont="1" applyBorder="1" applyAlignment="1">
      <alignment wrapText="1"/>
    </xf>
    <xf numFmtId="2" fontId="0" fillId="0" borderId="0" xfId="0" applyNumberFormat="1"/>
    <xf numFmtId="0" fontId="5" fillId="0" borderId="23" xfId="0" applyFont="1" applyBorder="1" applyAlignment="1">
      <alignment wrapText="1"/>
    </xf>
    <xf numFmtId="0" fontId="5" fillId="0" borderId="19" xfId="1" applyFont="1" applyBorder="1"/>
    <xf numFmtId="0" fontId="5" fillId="0" borderId="19" xfId="0" applyFont="1" applyBorder="1" applyAlignment="1">
      <alignment wrapText="1"/>
    </xf>
    <xf numFmtId="2" fontId="4" fillId="11" borderId="30" xfId="0" applyNumberFormat="1" applyFont="1" applyFill="1" applyBorder="1" applyAlignment="1">
      <alignment wrapText="1"/>
    </xf>
    <xf numFmtId="2" fontId="4" fillId="0" borderId="30" xfId="0" applyNumberFormat="1" applyFont="1" applyBorder="1" applyAlignment="1">
      <alignment wrapText="1"/>
    </xf>
    <xf numFmtId="2" fontId="4" fillId="11" borderId="25" xfId="0" applyNumberFormat="1" applyFont="1" applyFill="1" applyBorder="1" applyAlignment="1">
      <alignment wrapText="1"/>
    </xf>
    <xf numFmtId="2" fontId="4" fillId="0" borderId="25" xfId="0" applyNumberFormat="1" applyFont="1" applyBorder="1" applyAlignment="1">
      <alignment wrapText="1"/>
    </xf>
    <xf numFmtId="0" fontId="1" fillId="0" borderId="0" xfId="0" applyFont="1" applyAlignment="1">
      <alignment wrapText="1"/>
    </xf>
    <xf numFmtId="2" fontId="4" fillId="0" borderId="16" xfId="0" applyNumberFormat="1" applyFont="1" applyBorder="1" applyAlignment="1">
      <alignment wrapText="1"/>
    </xf>
    <xf numFmtId="2" fontId="4" fillId="0" borderId="6" xfId="0" applyNumberFormat="1" applyFont="1" applyBorder="1" applyAlignment="1">
      <alignment wrapText="1"/>
    </xf>
    <xf numFmtId="0" fontId="1" fillId="0" borderId="0" xfId="0" applyFont="1" applyBorder="1"/>
    <xf numFmtId="2" fontId="4" fillId="11" borderId="62" xfId="0" applyNumberFormat="1" applyFont="1" applyFill="1" applyBorder="1" applyAlignment="1">
      <alignment wrapText="1"/>
    </xf>
    <xf numFmtId="2" fontId="4" fillId="0" borderId="62" xfId="0" applyNumberFormat="1" applyFont="1" applyBorder="1" applyAlignment="1">
      <alignment wrapText="1"/>
    </xf>
    <xf numFmtId="0" fontId="5" fillId="0" borderId="12" xfId="0" applyFont="1" applyBorder="1"/>
    <xf numFmtId="0" fontId="5" fillId="0" borderId="63" xfId="0" applyFont="1" applyBorder="1"/>
    <xf numFmtId="0" fontId="5" fillId="0" borderId="50" xfId="0" applyFont="1" applyBorder="1"/>
    <xf numFmtId="2" fontId="5" fillId="0" borderId="45" xfId="0" applyNumberFormat="1" applyFont="1" applyBorder="1"/>
    <xf numFmtId="2" fontId="4" fillId="0" borderId="0" xfId="0" applyNumberFormat="1" applyFont="1"/>
    <xf numFmtId="0" fontId="4" fillId="0" borderId="0" xfId="1" applyFont="1"/>
    <xf numFmtId="2" fontId="4" fillId="2" borderId="60" xfId="0" applyNumberFormat="1" applyFont="1" applyFill="1" applyBorder="1" applyAlignment="1">
      <alignment wrapText="1"/>
    </xf>
    <xf numFmtId="2" fontId="4" fillId="2" borderId="30" xfId="0" applyNumberFormat="1" applyFont="1" applyFill="1" applyBorder="1" applyAlignment="1">
      <alignment wrapText="1"/>
    </xf>
    <xf numFmtId="0" fontId="2" fillId="5" borderId="51" xfId="0" applyFont="1" applyFill="1" applyBorder="1"/>
    <xf numFmtId="0" fontId="0" fillId="0" borderId="27" xfId="0" applyBorder="1"/>
    <xf numFmtId="0" fontId="2" fillId="0" borderId="0" xfId="0" applyFont="1"/>
    <xf numFmtId="0" fontId="2" fillId="3" borderId="47" xfId="0" applyFont="1" applyFill="1" applyBorder="1" applyAlignment="1">
      <alignment wrapText="1"/>
    </xf>
    <xf numFmtId="0" fontId="2" fillId="0" borderId="58" xfId="0" applyFont="1" applyBorder="1" applyAlignment="1">
      <alignment vertical="center" wrapText="1"/>
    </xf>
    <xf numFmtId="0" fontId="8" fillId="0" borderId="0" xfId="0" applyFont="1"/>
    <xf numFmtId="0" fontId="2" fillId="0" borderId="23" xfId="0" applyFont="1" applyBorder="1" applyAlignment="1">
      <alignment vertical="center" wrapText="1"/>
    </xf>
    <xf numFmtId="0" fontId="2" fillId="0" borderId="64" xfId="0" applyFont="1" applyBorder="1" applyAlignment="1">
      <alignment vertical="center" wrapText="1"/>
    </xf>
    <xf numFmtId="0" fontId="1" fillId="2" borderId="65" xfId="0" applyFont="1" applyFill="1" applyBorder="1" applyAlignment="1">
      <alignment vertical="center" wrapText="1"/>
    </xf>
    <xf numFmtId="0" fontId="1" fillId="2" borderId="66" xfId="0" applyFont="1" applyFill="1" applyBorder="1" applyAlignment="1">
      <alignment vertical="center" wrapText="1"/>
    </xf>
    <xf numFmtId="0" fontId="1" fillId="2" borderId="67" xfId="0" applyFont="1" applyFill="1" applyBorder="1" applyAlignment="1">
      <alignment vertical="center" wrapText="1"/>
    </xf>
    <xf numFmtId="0" fontId="1" fillId="0" borderId="52" xfId="0" applyFont="1" applyBorder="1" applyAlignment="1">
      <alignment horizontal="left" vertical="center" wrapText="1"/>
    </xf>
    <xf numFmtId="0" fontId="0" fillId="0" borderId="53" xfId="0" applyBorder="1" applyAlignment="1">
      <alignment horizontal="left" vertical="center" wrapText="1"/>
    </xf>
    <xf numFmtId="0" fontId="0" fillId="0" borderId="70" xfId="0" applyBorder="1" applyAlignment="1">
      <alignment horizontal="left" vertical="center" wrapText="1"/>
    </xf>
    <xf numFmtId="14" fontId="0" fillId="0" borderId="65" xfId="0" applyNumberFormat="1" applyBorder="1" applyAlignment="1">
      <alignment horizontal="center" vertical="center" wrapText="1"/>
    </xf>
    <xf numFmtId="0" fontId="0" fillId="0" borderId="71" xfId="0" applyBorder="1" applyAlignment="1">
      <alignment horizontal="center" vertical="center" wrapText="1"/>
    </xf>
    <xf numFmtId="0" fontId="1" fillId="0" borderId="65" xfId="0" applyFont="1"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15" fontId="1" fillId="0" borderId="0" xfId="0" applyNumberFormat="1" applyFont="1" applyBorder="1" applyAlignment="1">
      <alignment horizontal="center" vertical="top" wrapText="1"/>
    </xf>
    <xf numFmtId="9" fontId="1" fillId="18" borderId="17" xfId="0" applyNumberFormat="1" applyFont="1" applyFill="1" applyBorder="1" applyAlignment="1">
      <alignment horizontal="left" vertical="top" wrapText="1"/>
    </xf>
    <xf numFmtId="0" fontId="0" fillId="19" borderId="9" xfId="0" applyFill="1" applyBorder="1"/>
    <xf numFmtId="9" fontId="1" fillId="20" borderId="17" xfId="0" applyNumberFormat="1" applyFont="1" applyFill="1" applyBorder="1" applyAlignment="1">
      <alignment horizontal="left" vertical="top" wrapText="1"/>
    </xf>
    <xf numFmtId="0" fontId="5" fillId="0" borderId="77" xfId="0" applyFont="1" applyBorder="1" applyAlignment="1">
      <alignment wrapText="1"/>
    </xf>
    <xf numFmtId="0" fontId="5" fillId="0" borderId="18" xfId="0" applyFont="1" applyBorder="1" applyAlignment="1">
      <alignment wrapText="1"/>
    </xf>
    <xf numFmtId="2" fontId="5" fillId="0" borderId="70" xfId="0" applyNumberFormat="1" applyFont="1" applyBorder="1"/>
    <xf numFmtId="0" fontId="5" fillId="0" borderId="14" xfId="0" applyFont="1" applyBorder="1" applyAlignment="1">
      <alignment horizontal="center"/>
    </xf>
    <xf numFmtId="0" fontId="5" fillId="0" borderId="15" xfId="0" applyFont="1" applyBorder="1" applyAlignment="1">
      <alignment horizontal="center"/>
    </xf>
    <xf numFmtId="2" fontId="4" fillId="11" borderId="16" xfId="0" applyNumberFormat="1" applyFont="1" applyFill="1" applyBorder="1" applyAlignment="1">
      <alignment horizontal="center" wrapText="1"/>
    </xf>
    <xf numFmtId="0" fontId="2" fillId="3" borderId="4" xfId="0" applyFont="1" applyFill="1" applyBorder="1" applyAlignment="1">
      <alignment horizontal="center"/>
    </xf>
    <xf numFmtId="0" fontId="2" fillId="3" borderId="48" xfId="0" applyFont="1" applyFill="1" applyBorder="1" applyAlignment="1">
      <alignment horizontal="center"/>
    </xf>
    <xf numFmtId="0" fontId="1" fillId="2" borderId="60" xfId="0" applyFont="1" applyFill="1" applyBorder="1" applyAlignment="1">
      <alignment vertical="center" wrapText="1"/>
    </xf>
    <xf numFmtId="0" fontId="1" fillId="2" borderId="2" xfId="0" applyFont="1" applyFill="1" applyBorder="1" applyAlignment="1">
      <alignment horizontal="left" vertical="center" wrapText="1"/>
    </xf>
    <xf numFmtId="0" fontId="1" fillId="2" borderId="25"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6" xfId="0" applyFont="1" applyFill="1" applyBorder="1" applyAlignment="1">
      <alignment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10" xfId="0" applyFont="1" applyFill="1" applyBorder="1" applyAlignment="1">
      <alignment vertical="center" wrapText="1"/>
    </xf>
    <xf numFmtId="0" fontId="1" fillId="2" borderId="11" xfId="0" applyFont="1" applyFill="1" applyBorder="1" applyAlignment="1">
      <alignment vertical="center" wrapText="1"/>
    </xf>
    <xf numFmtId="0" fontId="1" fillId="2" borderId="45" xfId="0" applyFont="1" applyFill="1" applyBorder="1" applyAlignment="1">
      <alignment vertical="center" wrapText="1"/>
    </xf>
    <xf numFmtId="0" fontId="1" fillId="2" borderId="4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2" fillId="3" borderId="52" xfId="0" applyFont="1" applyFill="1" applyBorder="1" applyAlignment="1">
      <alignment horizontal="center"/>
    </xf>
    <xf numFmtId="0" fontId="2" fillId="3" borderId="15" xfId="0" applyFont="1" applyFill="1" applyBorder="1" applyAlignment="1">
      <alignment horizontal="center"/>
    </xf>
    <xf numFmtId="0" fontId="1" fillId="0" borderId="45" xfId="0" applyFont="1" applyBorder="1" applyAlignment="1">
      <alignment horizontal="left" vertical="center" wrapText="1"/>
    </xf>
    <xf numFmtId="0" fontId="1" fillId="0" borderId="46"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center" vertical="center" wrapText="1"/>
    </xf>
    <xf numFmtId="0" fontId="2"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1" xfId="0" applyFont="1" applyBorder="1" applyAlignment="1">
      <alignment horizontal="left" vertical="center" wrapText="1"/>
    </xf>
    <xf numFmtId="0" fontId="1" fillId="0" borderId="46" xfId="0" applyFont="1" applyBorder="1" applyAlignment="1">
      <alignment horizontal="center" vertical="center" wrapText="1"/>
    </xf>
    <xf numFmtId="0" fontId="2" fillId="3" borderId="68" xfId="0" applyFont="1" applyFill="1" applyBorder="1" applyAlignment="1">
      <alignment horizontal="center"/>
    </xf>
    <xf numFmtId="0" fontId="2" fillId="3" borderId="46" xfId="0" applyFont="1" applyFill="1" applyBorder="1" applyAlignment="1">
      <alignment horizontal="center"/>
    </xf>
    <xf numFmtId="0" fontId="1" fillId="0" borderId="10" xfId="0" applyFont="1" applyBorder="1" applyAlignment="1">
      <alignment horizontal="left" vertical="center" wrapText="1"/>
    </xf>
    <xf numFmtId="14" fontId="1" fillId="0" borderId="69" xfId="0" applyNumberFormat="1" applyFont="1" applyBorder="1" applyAlignment="1">
      <alignment horizontal="center" vertical="center" wrapText="1"/>
    </xf>
    <xf numFmtId="14" fontId="0" fillId="0" borderId="69" xfId="0" applyNumberFormat="1" applyBorder="1" applyAlignment="1">
      <alignment horizontal="center" vertical="center" wrapText="1"/>
    </xf>
    <xf numFmtId="0" fontId="1" fillId="0" borderId="45" xfId="0" applyFont="1" applyBorder="1" applyAlignment="1">
      <alignment horizontal="left" vertical="center"/>
    </xf>
    <xf numFmtId="14" fontId="1" fillId="0" borderId="68" xfId="0" applyNumberFormat="1" applyFont="1" applyBorder="1" applyAlignment="1">
      <alignment horizontal="center" vertical="center"/>
    </xf>
    <xf numFmtId="0" fontId="1" fillId="0" borderId="72" xfId="0" applyFont="1" applyBorder="1" applyAlignment="1">
      <alignment horizontal="left" vertical="center" wrapText="1"/>
    </xf>
    <xf numFmtId="14" fontId="1" fillId="0" borderId="73" xfId="0" applyNumberFormat="1" applyFont="1" applyBorder="1" applyAlignment="1">
      <alignment horizontal="center" vertical="center" wrapText="1"/>
    </xf>
    <xf numFmtId="0" fontId="1" fillId="0" borderId="74" xfId="0" applyFont="1" applyBorder="1" applyAlignment="1">
      <alignment horizontal="left" vertical="center" wrapText="1"/>
    </xf>
    <xf numFmtId="0" fontId="0" fillId="0" borderId="46" xfId="0" applyFont="1" applyBorder="1" applyAlignment="1">
      <alignment horizontal="left" vertical="center" wrapText="1"/>
    </xf>
    <xf numFmtId="0" fontId="2" fillId="3" borderId="47" xfId="0" applyFont="1" applyFill="1" applyBorder="1" applyAlignment="1">
      <alignment horizontal="center"/>
    </xf>
    <xf numFmtId="0" fontId="2" fillId="3" borderId="55" xfId="0" applyFont="1" applyFill="1" applyBorder="1" applyAlignment="1">
      <alignment horizontal="center"/>
    </xf>
    <xf numFmtId="0" fontId="2" fillId="3" borderId="75" xfId="0" applyFont="1" applyFill="1" applyBorder="1" applyAlignment="1">
      <alignment horizontal="center"/>
    </xf>
    <xf numFmtId="0" fontId="2" fillId="3" borderId="57" xfId="0" applyFont="1" applyFill="1" applyBorder="1" applyAlignment="1">
      <alignment horizontal="center"/>
    </xf>
    <xf numFmtId="0" fontId="1" fillId="0" borderId="45" xfId="0" applyFont="1" applyBorder="1" applyAlignment="1">
      <alignment vertical="center"/>
    </xf>
    <xf numFmtId="0" fontId="1" fillId="0" borderId="68" xfId="0" applyFont="1" applyBorder="1" applyAlignment="1">
      <alignment horizontal="center" vertical="center"/>
    </xf>
    <xf numFmtId="0" fontId="1" fillId="0" borderId="68" xfId="0" applyFont="1" applyBorder="1" applyAlignment="1">
      <alignment horizontal="center" vertical="center" wrapText="1"/>
    </xf>
    <xf numFmtId="0" fontId="1" fillId="0" borderId="46" xfId="0" applyFont="1" applyBorder="1" applyAlignment="1">
      <alignment vertical="center" wrapText="1"/>
    </xf>
    <xf numFmtId="0" fontId="0" fillId="0" borderId="72" xfId="0" applyBorder="1" applyAlignment="1">
      <alignment horizontal="left" vertical="center" wrapText="1"/>
    </xf>
    <xf numFmtId="14" fontId="0" fillId="0" borderId="73" xfId="0" applyNumberFormat="1" applyBorder="1" applyAlignment="1">
      <alignment horizontal="center" vertical="center" wrapText="1"/>
    </xf>
    <xf numFmtId="0" fontId="0" fillId="0" borderId="22" xfId="0" applyBorder="1" applyAlignment="1">
      <alignment horizontal="left" vertical="center" wrapText="1"/>
    </xf>
    <xf numFmtId="0" fontId="0" fillId="0" borderId="74" xfId="0" applyBorder="1" applyAlignment="1">
      <alignment horizontal="left" vertical="center" wrapText="1"/>
    </xf>
    <xf numFmtId="14" fontId="0" fillId="0" borderId="61" xfId="0" applyNumberFormat="1" applyBorder="1" applyAlignment="1">
      <alignment horizontal="center" vertical="center" wrapText="1"/>
    </xf>
    <xf numFmtId="0" fontId="1" fillId="2" borderId="5" xfId="0" applyFont="1" applyFill="1" applyBorder="1" applyAlignment="1">
      <alignment horizontal="left" vertical="center" wrapText="1"/>
    </xf>
    <xf numFmtId="0" fontId="1" fillId="2" borderId="45" xfId="0" applyFont="1" applyFill="1" applyBorder="1" applyAlignment="1">
      <alignment horizontal="left" vertical="center" wrapText="1"/>
    </xf>
    <xf numFmtId="14" fontId="1" fillId="0" borderId="68" xfId="0" applyNumberFormat="1" applyFont="1" applyBorder="1" applyAlignment="1">
      <alignment horizontal="center" vertical="center" wrapText="1"/>
    </xf>
    <xf numFmtId="0" fontId="1" fillId="2" borderId="76" xfId="0" applyFont="1" applyFill="1" applyBorder="1" applyAlignment="1">
      <alignment horizontal="center" vertical="center" wrapText="1"/>
    </xf>
    <xf numFmtId="49" fontId="1" fillId="0" borderId="68" xfId="0" applyNumberFormat="1" applyFont="1" applyBorder="1" applyAlignment="1">
      <alignment horizontal="center" vertical="center"/>
    </xf>
    <xf numFmtId="49" fontId="1" fillId="0" borderId="73" xfId="0" applyNumberFormat="1" applyFont="1" applyBorder="1" applyAlignment="1">
      <alignment horizontal="center" vertical="center" wrapText="1"/>
    </xf>
    <xf numFmtId="49" fontId="1" fillId="0" borderId="69" xfId="0" applyNumberFormat="1" applyFont="1" applyBorder="1" applyAlignment="1">
      <alignment horizontal="center" vertical="center" wrapText="1"/>
    </xf>
    <xf numFmtId="0" fontId="1" fillId="0" borderId="61" xfId="0" applyFont="1" applyBorder="1" applyAlignment="1">
      <alignment horizontal="center" vertical="center" wrapText="1"/>
    </xf>
    <xf numFmtId="0" fontId="1" fillId="2" borderId="52" xfId="0" applyFont="1" applyFill="1" applyBorder="1" applyAlignment="1">
      <alignment vertical="center" wrapText="1"/>
    </xf>
    <xf numFmtId="0" fontId="1" fillId="2" borderId="14" xfId="0" applyFont="1" applyFill="1" applyBorder="1" applyAlignment="1">
      <alignment horizontal="center" vertical="center" wrapText="1"/>
    </xf>
    <xf numFmtId="0" fontId="1" fillId="0" borderId="45" xfId="0" applyFont="1" applyBorder="1" applyAlignment="1">
      <alignment horizontal="center" vertical="center" wrapText="1"/>
    </xf>
    <xf numFmtId="15" fontId="1" fillId="0" borderId="16" xfId="0" applyNumberFormat="1" applyFont="1" applyBorder="1" applyAlignment="1">
      <alignment horizontal="center"/>
    </xf>
    <xf numFmtId="0" fontId="1" fillId="0" borderId="6" xfId="0" applyFont="1" applyBorder="1" applyAlignment="1">
      <alignment horizontal="center" vertical="center"/>
    </xf>
    <xf numFmtId="0" fontId="1" fillId="0" borderId="10" xfId="0" applyFont="1" applyBorder="1" applyAlignment="1">
      <alignment horizontal="center" vertical="center"/>
    </xf>
    <xf numFmtId="15" fontId="0" fillId="0" borderId="16" xfId="0" applyNumberFormat="1" applyBorder="1" applyAlignment="1">
      <alignment horizontal="center"/>
    </xf>
    <xf numFmtId="0" fontId="1" fillId="0" borderId="5" xfId="0" applyFont="1" applyBorder="1" applyAlignment="1">
      <alignment horizontal="center" vertical="center"/>
    </xf>
    <xf numFmtId="14" fontId="0" fillId="0" borderId="16" xfId="0" applyNumberFormat="1" applyBorder="1" applyAlignment="1">
      <alignment horizontal="center" vertical="center"/>
    </xf>
    <xf numFmtId="0" fontId="0" fillId="0" borderId="6" xfId="0" applyBorder="1" applyAlignment="1">
      <alignment horizontal="center" vertical="center" wrapText="1"/>
    </xf>
    <xf numFmtId="14" fontId="0" fillId="0" borderId="69" xfId="0" applyNumberFormat="1" applyBorder="1" applyAlignment="1">
      <alignment horizontal="center" vertical="center"/>
    </xf>
    <xf numFmtId="0" fontId="0" fillId="0" borderId="11" xfId="0" applyBorder="1" applyAlignment="1">
      <alignment horizontal="center" vertical="center"/>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1FB714"/>
      <rgbColor rgb="FF000080"/>
      <rgbColor rgb="FF808000"/>
      <rgbColor rgb="FF800080"/>
      <rgbColor rgb="FF008080"/>
      <rgbColor rgb="FFB3A2C7"/>
      <rgbColor rgb="FF808080"/>
      <rgbColor rgb="FF9999FF"/>
      <rgbColor rgb="FF7030A0"/>
      <rgbColor rgb="FFFFFFCC"/>
      <rgbColor rgb="FFCCFFFF"/>
      <rgbColor rgb="FF660066"/>
      <rgbColor rgb="FFF79646"/>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2D050"/>
      <rgbColor rgb="FFFFC000"/>
      <rgbColor rgb="FFFF9900"/>
      <rgbColor rgb="FFF99746"/>
      <rgbColor rgb="FF666699"/>
      <rgbColor rgb="FF969696"/>
      <rgbColor rgb="FF003366"/>
      <rgbColor rgb="FF00B050"/>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mruColors>
      <color rgb="FFCD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95040</xdr:rowOff>
    </xdr:to>
    <xdr:sp macro="" textlink="">
      <xdr:nvSpPr>
        <xdr:cNvPr id="2" name="CustomShape 1" hidden="1">
          <a:extLst>
            <a:ext uri="{FF2B5EF4-FFF2-40B4-BE49-F238E27FC236}">
              <a16:creationId xmlns:a16="http://schemas.microsoft.com/office/drawing/2014/main" id="{00000000-0008-0000-0500-000002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95040</xdr:rowOff>
    </xdr:to>
    <xdr:sp macro="" textlink="">
      <xdr:nvSpPr>
        <xdr:cNvPr id="3" name="CustomShape 1" hidden="1">
          <a:extLst>
            <a:ext uri="{FF2B5EF4-FFF2-40B4-BE49-F238E27FC236}">
              <a16:creationId xmlns:a16="http://schemas.microsoft.com/office/drawing/2014/main" id="{00000000-0008-0000-0500-000003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40</xdr:row>
      <xdr:rowOff>95250</xdr:rowOff>
    </xdr:to>
    <xdr:sp macro="" textlink="">
      <xdr:nvSpPr>
        <xdr:cNvPr id="1028" name="shapetype_202" hidden="1">
          <a:extLst>
            <a:ext uri="{FF2B5EF4-FFF2-40B4-BE49-F238E27FC236}">
              <a16:creationId xmlns:a16="http://schemas.microsoft.com/office/drawing/2014/main" id="{00000000-0008-0000-0500-000004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40</xdr:row>
      <xdr:rowOff>95250</xdr:rowOff>
    </xdr:to>
    <xdr:sp macro="" textlink="">
      <xdr:nvSpPr>
        <xdr:cNvPr id="1026" name="shapetype_202" hidden="1">
          <a:extLst>
            <a:ext uri="{FF2B5EF4-FFF2-40B4-BE49-F238E27FC236}">
              <a16:creationId xmlns:a16="http://schemas.microsoft.com/office/drawing/2014/main" id="{00000000-0008-0000-0500-0000020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95040</xdr:rowOff>
    </xdr:to>
    <xdr:sp macro="" textlink="">
      <xdr:nvSpPr>
        <xdr:cNvPr id="2" name="CustomShape 1" hidden="1">
          <a:extLst>
            <a:ext uri="{FF2B5EF4-FFF2-40B4-BE49-F238E27FC236}">
              <a16:creationId xmlns:a16="http://schemas.microsoft.com/office/drawing/2014/main" id="{00000000-0008-0000-0600-000002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95040</xdr:rowOff>
    </xdr:to>
    <xdr:sp macro="" textlink="">
      <xdr:nvSpPr>
        <xdr:cNvPr id="3" name="CustomShape 1" hidden="1">
          <a:extLst>
            <a:ext uri="{FF2B5EF4-FFF2-40B4-BE49-F238E27FC236}">
              <a16:creationId xmlns:a16="http://schemas.microsoft.com/office/drawing/2014/main" id="{00000000-0008-0000-0600-000003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40</xdr:row>
      <xdr:rowOff>95250</xdr:rowOff>
    </xdr:to>
    <xdr:sp macro="" textlink="">
      <xdr:nvSpPr>
        <xdr:cNvPr id="2052" name="shapetype_202" hidden="1">
          <a:extLst>
            <a:ext uri="{FF2B5EF4-FFF2-40B4-BE49-F238E27FC236}">
              <a16:creationId xmlns:a16="http://schemas.microsoft.com/office/drawing/2014/main" id="{00000000-0008-0000-0600-000004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40</xdr:row>
      <xdr:rowOff>95250</xdr:rowOff>
    </xdr:to>
    <xdr:sp macro="" textlink="">
      <xdr:nvSpPr>
        <xdr:cNvPr id="2050" name="shapetype_202" hidden="1">
          <a:extLst>
            <a:ext uri="{FF2B5EF4-FFF2-40B4-BE49-F238E27FC236}">
              <a16:creationId xmlns:a16="http://schemas.microsoft.com/office/drawing/2014/main" id="{00000000-0008-0000-0600-0000020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95040</xdr:rowOff>
    </xdr:to>
    <xdr:sp macro="" textlink="">
      <xdr:nvSpPr>
        <xdr:cNvPr id="4" name="CustomShape 1" hidden="1">
          <a:extLst>
            <a:ext uri="{FF2B5EF4-FFF2-40B4-BE49-F238E27FC236}">
              <a16:creationId xmlns:a16="http://schemas.microsoft.com/office/drawing/2014/main" id="{00000000-0008-0000-0700-000004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95040</xdr:rowOff>
    </xdr:to>
    <xdr:sp macro="" textlink="">
      <xdr:nvSpPr>
        <xdr:cNvPr id="5" name="CustomShape 1" hidden="1">
          <a:extLst>
            <a:ext uri="{FF2B5EF4-FFF2-40B4-BE49-F238E27FC236}">
              <a16:creationId xmlns:a16="http://schemas.microsoft.com/office/drawing/2014/main" id="{00000000-0008-0000-0700-000005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40</xdr:row>
      <xdr:rowOff>95250</xdr:rowOff>
    </xdr:to>
    <xdr:sp macro="" textlink="">
      <xdr:nvSpPr>
        <xdr:cNvPr id="3076" name="shapetype_202" hidden="1">
          <a:extLst>
            <a:ext uri="{FF2B5EF4-FFF2-40B4-BE49-F238E27FC236}">
              <a16:creationId xmlns:a16="http://schemas.microsoft.com/office/drawing/2014/main" id="{00000000-0008-0000-0700-000004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40</xdr:row>
      <xdr:rowOff>95250</xdr:rowOff>
    </xdr:to>
    <xdr:sp macro="" textlink="">
      <xdr:nvSpPr>
        <xdr:cNvPr id="3074" name="shapetype_202" hidden="1">
          <a:extLst>
            <a:ext uri="{FF2B5EF4-FFF2-40B4-BE49-F238E27FC236}">
              <a16:creationId xmlns:a16="http://schemas.microsoft.com/office/drawing/2014/main" id="{00000000-0008-0000-0700-0000020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95040</xdr:rowOff>
    </xdr:to>
    <xdr:sp macro="" textlink="">
      <xdr:nvSpPr>
        <xdr:cNvPr id="6" name="CustomShape 1" hidden="1">
          <a:extLst>
            <a:ext uri="{FF2B5EF4-FFF2-40B4-BE49-F238E27FC236}">
              <a16:creationId xmlns:a16="http://schemas.microsoft.com/office/drawing/2014/main" id="{00000000-0008-0000-0800-000006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95040</xdr:rowOff>
    </xdr:to>
    <xdr:sp macro="" textlink="">
      <xdr:nvSpPr>
        <xdr:cNvPr id="7" name="CustomShape 1" hidden="1">
          <a:extLst>
            <a:ext uri="{FF2B5EF4-FFF2-40B4-BE49-F238E27FC236}">
              <a16:creationId xmlns:a16="http://schemas.microsoft.com/office/drawing/2014/main" id="{00000000-0008-0000-0800-000007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40</xdr:row>
      <xdr:rowOff>95250</xdr:rowOff>
    </xdr:to>
    <xdr:sp macro="" textlink="">
      <xdr:nvSpPr>
        <xdr:cNvPr id="4100" name="shapetype_202" hidden="1">
          <a:extLst>
            <a:ext uri="{FF2B5EF4-FFF2-40B4-BE49-F238E27FC236}">
              <a16:creationId xmlns:a16="http://schemas.microsoft.com/office/drawing/2014/main" id="{00000000-0008-0000-0800-000004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40</xdr:row>
      <xdr:rowOff>95250</xdr:rowOff>
    </xdr:to>
    <xdr:sp macro="" textlink="">
      <xdr:nvSpPr>
        <xdr:cNvPr id="4098" name="shapetype_202" hidden="1">
          <a:extLst>
            <a:ext uri="{FF2B5EF4-FFF2-40B4-BE49-F238E27FC236}">
              <a16:creationId xmlns:a16="http://schemas.microsoft.com/office/drawing/2014/main" id="{00000000-0008-0000-0800-0000021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95040</xdr:rowOff>
    </xdr:to>
    <xdr:sp macro="" textlink="">
      <xdr:nvSpPr>
        <xdr:cNvPr id="8" name="CustomShape 1" hidden="1">
          <a:extLst>
            <a:ext uri="{FF2B5EF4-FFF2-40B4-BE49-F238E27FC236}">
              <a16:creationId xmlns:a16="http://schemas.microsoft.com/office/drawing/2014/main" id="{00000000-0008-0000-0900-000008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95040</xdr:rowOff>
    </xdr:to>
    <xdr:sp macro="" textlink="">
      <xdr:nvSpPr>
        <xdr:cNvPr id="9" name="CustomShape 1" hidden="1">
          <a:extLst>
            <a:ext uri="{FF2B5EF4-FFF2-40B4-BE49-F238E27FC236}">
              <a16:creationId xmlns:a16="http://schemas.microsoft.com/office/drawing/2014/main" id="{00000000-0008-0000-0900-000009000000}"/>
            </a:ext>
          </a:extLst>
        </xdr:cNvPr>
        <xdr:cNvSpPr/>
      </xdr:nvSpPr>
      <xdr:spPr>
        <a:xfrm>
          <a:off x="0" y="0"/>
          <a:ext cx="10088280" cy="98103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40</xdr:row>
      <xdr:rowOff>95250</xdr:rowOff>
    </xdr:to>
    <xdr:sp macro="" textlink="">
      <xdr:nvSpPr>
        <xdr:cNvPr id="5124" name="shapetype_202" hidden="1">
          <a:extLst>
            <a:ext uri="{FF2B5EF4-FFF2-40B4-BE49-F238E27FC236}">
              <a16:creationId xmlns:a16="http://schemas.microsoft.com/office/drawing/2014/main" id="{00000000-0008-0000-0900-0000041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40</xdr:row>
      <xdr:rowOff>95250</xdr:rowOff>
    </xdr:to>
    <xdr:sp macro="" textlink="">
      <xdr:nvSpPr>
        <xdr:cNvPr id="5122" name="shapetype_202" hidden="1">
          <a:extLst>
            <a:ext uri="{FF2B5EF4-FFF2-40B4-BE49-F238E27FC236}">
              <a16:creationId xmlns:a16="http://schemas.microsoft.com/office/drawing/2014/main" id="{00000000-0008-0000-0900-00000214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39</xdr:row>
      <xdr:rowOff>56880</xdr:rowOff>
    </xdr:to>
    <xdr:sp macro="" textlink="">
      <xdr:nvSpPr>
        <xdr:cNvPr id="10" name="CustomShape 1" hidden="1">
          <a:extLst>
            <a:ext uri="{FF2B5EF4-FFF2-40B4-BE49-F238E27FC236}">
              <a16:creationId xmlns:a16="http://schemas.microsoft.com/office/drawing/2014/main" id="{00000000-0008-0000-0A00-00000A000000}"/>
            </a:ext>
          </a:extLst>
        </xdr:cNvPr>
        <xdr:cNvSpPr/>
      </xdr:nvSpPr>
      <xdr:spPr>
        <a:xfrm>
          <a:off x="0" y="0"/>
          <a:ext cx="10088280" cy="98229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39</xdr:row>
      <xdr:rowOff>56880</xdr:rowOff>
    </xdr:to>
    <xdr:sp macro="" textlink="">
      <xdr:nvSpPr>
        <xdr:cNvPr id="11" name="CustomShape 1" hidden="1">
          <a:extLst>
            <a:ext uri="{FF2B5EF4-FFF2-40B4-BE49-F238E27FC236}">
              <a16:creationId xmlns:a16="http://schemas.microsoft.com/office/drawing/2014/main" id="{00000000-0008-0000-0A00-00000B000000}"/>
            </a:ext>
          </a:extLst>
        </xdr:cNvPr>
        <xdr:cNvSpPr/>
      </xdr:nvSpPr>
      <xdr:spPr>
        <a:xfrm>
          <a:off x="0" y="0"/>
          <a:ext cx="10088280" cy="982296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39</xdr:row>
      <xdr:rowOff>57150</xdr:rowOff>
    </xdr:to>
    <xdr:sp macro="" textlink="">
      <xdr:nvSpPr>
        <xdr:cNvPr id="6148" name="shapetype_202" hidden="1">
          <a:extLst>
            <a:ext uri="{FF2B5EF4-FFF2-40B4-BE49-F238E27FC236}">
              <a16:creationId xmlns:a16="http://schemas.microsoft.com/office/drawing/2014/main" id="{00000000-0008-0000-0A00-0000041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39</xdr:row>
      <xdr:rowOff>57150</xdr:rowOff>
    </xdr:to>
    <xdr:sp macro="" textlink="">
      <xdr:nvSpPr>
        <xdr:cNvPr id="6146" name="shapetype_202" hidden="1">
          <a:extLst>
            <a:ext uri="{FF2B5EF4-FFF2-40B4-BE49-F238E27FC236}">
              <a16:creationId xmlns:a16="http://schemas.microsoft.com/office/drawing/2014/main" id="{00000000-0008-0000-0A00-00000218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39</xdr:row>
      <xdr:rowOff>56880</xdr:rowOff>
    </xdr:to>
    <xdr:sp macro="" textlink="">
      <xdr:nvSpPr>
        <xdr:cNvPr id="12" name="CustomShape 1" hidden="1">
          <a:extLst>
            <a:ext uri="{FF2B5EF4-FFF2-40B4-BE49-F238E27FC236}">
              <a16:creationId xmlns:a16="http://schemas.microsoft.com/office/drawing/2014/main" id="{00000000-0008-0000-0B00-00000C000000}"/>
            </a:ext>
          </a:extLst>
        </xdr:cNvPr>
        <xdr:cNvSpPr/>
      </xdr:nvSpPr>
      <xdr:spPr>
        <a:xfrm>
          <a:off x="0" y="0"/>
          <a:ext cx="10088280" cy="93913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39</xdr:row>
      <xdr:rowOff>56880</xdr:rowOff>
    </xdr:to>
    <xdr:sp macro="" textlink="">
      <xdr:nvSpPr>
        <xdr:cNvPr id="13" name="CustomShape 1" hidden="1">
          <a:extLst>
            <a:ext uri="{FF2B5EF4-FFF2-40B4-BE49-F238E27FC236}">
              <a16:creationId xmlns:a16="http://schemas.microsoft.com/office/drawing/2014/main" id="{00000000-0008-0000-0B00-00000D000000}"/>
            </a:ext>
          </a:extLst>
        </xdr:cNvPr>
        <xdr:cNvSpPr/>
      </xdr:nvSpPr>
      <xdr:spPr>
        <a:xfrm>
          <a:off x="0" y="0"/>
          <a:ext cx="10088280" cy="93913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41</xdr:row>
      <xdr:rowOff>133350</xdr:rowOff>
    </xdr:to>
    <xdr:sp macro="" textlink="">
      <xdr:nvSpPr>
        <xdr:cNvPr id="7172" name="shapetype_202" hidden="1">
          <a:extLst>
            <a:ext uri="{FF2B5EF4-FFF2-40B4-BE49-F238E27FC236}">
              <a16:creationId xmlns:a16="http://schemas.microsoft.com/office/drawing/2014/main" id="{00000000-0008-0000-0B00-0000041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41</xdr:row>
      <xdr:rowOff>133350</xdr:rowOff>
    </xdr:to>
    <xdr:sp macro="" textlink="">
      <xdr:nvSpPr>
        <xdr:cNvPr id="7170" name="shapetype_202" hidden="1">
          <a:extLst>
            <a:ext uri="{FF2B5EF4-FFF2-40B4-BE49-F238E27FC236}">
              <a16:creationId xmlns:a16="http://schemas.microsoft.com/office/drawing/2014/main" id="{00000000-0008-0000-0B00-0000021C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151920</xdr:colOff>
      <xdr:row>40</xdr:row>
      <xdr:rowOff>107680</xdr:rowOff>
    </xdr:to>
    <xdr:sp macro="" textlink="">
      <xdr:nvSpPr>
        <xdr:cNvPr id="14" name="CustomShape 1" hidden="1">
          <a:extLst>
            <a:ext uri="{FF2B5EF4-FFF2-40B4-BE49-F238E27FC236}">
              <a16:creationId xmlns:a16="http://schemas.microsoft.com/office/drawing/2014/main" id="{00000000-0008-0000-0C00-00000E000000}"/>
            </a:ext>
          </a:extLst>
        </xdr:cNvPr>
        <xdr:cNvSpPr/>
      </xdr:nvSpPr>
      <xdr:spPr>
        <a:xfrm>
          <a:off x="0" y="0"/>
          <a:ext cx="10088280" cy="93913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9</xdr:col>
      <xdr:colOff>151920</xdr:colOff>
      <xdr:row>40</xdr:row>
      <xdr:rowOff>107680</xdr:rowOff>
    </xdr:to>
    <xdr:sp macro="" textlink="">
      <xdr:nvSpPr>
        <xdr:cNvPr id="15" name="CustomShape 1" hidden="1">
          <a:extLst>
            <a:ext uri="{FF2B5EF4-FFF2-40B4-BE49-F238E27FC236}">
              <a16:creationId xmlns:a16="http://schemas.microsoft.com/office/drawing/2014/main" id="{00000000-0008-0000-0C00-00000F000000}"/>
            </a:ext>
          </a:extLst>
        </xdr:cNvPr>
        <xdr:cNvSpPr/>
      </xdr:nvSpPr>
      <xdr:spPr>
        <a:xfrm>
          <a:off x="0" y="0"/>
          <a:ext cx="10088280" cy="93913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152400</xdr:colOff>
      <xdr:row>41</xdr:row>
      <xdr:rowOff>133350</xdr:rowOff>
    </xdr:to>
    <xdr:sp macro="" textlink="">
      <xdr:nvSpPr>
        <xdr:cNvPr id="8196" name="shapetype_202" hidden="1">
          <a:extLst>
            <a:ext uri="{FF2B5EF4-FFF2-40B4-BE49-F238E27FC236}">
              <a16:creationId xmlns:a16="http://schemas.microsoft.com/office/drawing/2014/main" id="{00000000-0008-0000-0C00-000004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twoCellAnchor>
    <xdr:from>
      <xdr:col>0</xdr:col>
      <xdr:colOff>0</xdr:colOff>
      <xdr:row>0</xdr:row>
      <xdr:rowOff>0</xdr:rowOff>
    </xdr:from>
    <xdr:to>
      <xdr:col>9</xdr:col>
      <xdr:colOff>152400</xdr:colOff>
      <xdr:row>41</xdr:row>
      <xdr:rowOff>133350</xdr:rowOff>
    </xdr:to>
    <xdr:sp macro="" textlink="">
      <xdr:nvSpPr>
        <xdr:cNvPr id="8194" name="shapetype_202" hidden="1">
          <a:extLst>
            <a:ext uri="{FF2B5EF4-FFF2-40B4-BE49-F238E27FC236}">
              <a16:creationId xmlns:a16="http://schemas.microsoft.com/office/drawing/2014/main" id="{00000000-0008-0000-0C00-000002200000}"/>
            </a:ext>
          </a:extLst>
        </xdr:cNvPr>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drawing" Target="../drawings/drawing8.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7"/>
  <sheetViews>
    <sheetView tabSelected="1" zoomScale="90" zoomScaleNormal="90" workbookViewId="0">
      <pane xSplit="6" ySplit="8" topLeftCell="G27" activePane="bottomRight" state="frozen"/>
      <selection pane="topRight" activeCell="S1" sqref="S1"/>
      <selection pane="bottomLeft" activeCell="A23" sqref="A23"/>
      <selection pane="bottomRight" activeCell="N19" sqref="N19"/>
    </sheetView>
  </sheetViews>
  <sheetFormatPr defaultColWidth="8.85546875" defaultRowHeight="12.75" x14ac:dyDescent="0.2"/>
  <cols>
    <col min="1" max="1" width="12.28515625" customWidth="1"/>
    <col min="2" max="2" width="15.85546875" customWidth="1"/>
    <col min="3" max="3" width="27.28515625" customWidth="1"/>
    <col min="4" max="4" width="17.42578125" customWidth="1"/>
    <col min="5" max="5" width="16.28515625" customWidth="1"/>
    <col min="6" max="6" width="11.42578125"/>
    <col min="7" max="12" width="14.140625" style="2" customWidth="1"/>
    <col min="13" max="13" width="8.42578125" style="2" customWidth="1"/>
    <col min="14" max="14" width="9.28515625" style="2" customWidth="1"/>
    <col min="15" max="19" width="36.85546875" customWidth="1"/>
    <col min="20" max="20" width="25.28515625" customWidth="1"/>
    <col min="21" max="21" width="19.28515625" customWidth="1"/>
    <col min="22" max="22" width="20" customWidth="1"/>
    <col min="23" max="1025" width="8.85546875" customWidth="1"/>
  </cols>
  <sheetData>
    <row r="2" spans="1:22" x14ac:dyDescent="0.2">
      <c r="A2" s="3" t="s">
        <v>1</v>
      </c>
      <c r="B2" s="4"/>
      <c r="C2" s="5"/>
      <c r="D2" s="6"/>
      <c r="E2" s="7" t="s">
        <v>2</v>
      </c>
      <c r="G2" s="8"/>
      <c r="H2" s="8"/>
      <c r="I2" s="8"/>
      <c r="J2" s="8"/>
      <c r="K2" s="8"/>
      <c r="L2" s="8"/>
      <c r="M2" s="8"/>
      <c r="N2" s="8"/>
    </row>
    <row r="3" spans="1:22" x14ac:dyDescent="0.2">
      <c r="A3" s="9" t="s">
        <v>3</v>
      </c>
      <c r="B3" s="10" t="s">
        <v>4</v>
      </c>
      <c r="C3" s="5"/>
      <c r="D3" s="11"/>
      <c r="E3" s="12" t="s">
        <v>5</v>
      </c>
      <c r="G3" s="8"/>
      <c r="H3" s="8"/>
      <c r="I3" s="8"/>
      <c r="J3" s="8"/>
      <c r="K3" s="8"/>
      <c r="L3" s="8"/>
      <c r="M3" s="8"/>
      <c r="N3" s="8"/>
    </row>
    <row r="4" spans="1:22" x14ac:dyDescent="0.2">
      <c r="A4" s="9" t="s">
        <v>6</v>
      </c>
      <c r="B4" s="13" t="s">
        <v>25</v>
      </c>
      <c r="C4" s="5"/>
      <c r="D4" s="14"/>
      <c r="E4" s="12" t="s">
        <v>8</v>
      </c>
      <c r="F4" s="15"/>
      <c r="G4" s="8"/>
      <c r="H4" s="8"/>
      <c r="I4" s="8"/>
      <c r="J4" s="8"/>
      <c r="K4" s="8"/>
      <c r="L4" s="8"/>
      <c r="M4" s="8"/>
      <c r="N4" s="8"/>
    </row>
    <row r="5" spans="1:22" ht="25.5" x14ac:dyDescent="0.2">
      <c r="A5" s="16" t="s">
        <v>9</v>
      </c>
      <c r="B5" s="17" t="s">
        <v>10</v>
      </c>
      <c r="C5" s="5"/>
      <c r="D5" s="233"/>
      <c r="E5" s="12" t="s">
        <v>11</v>
      </c>
      <c r="G5" s="8"/>
      <c r="H5" s="8"/>
      <c r="I5" s="8"/>
      <c r="J5" s="8"/>
      <c r="K5" s="8"/>
      <c r="L5" s="8"/>
      <c r="M5" s="8"/>
      <c r="N5" s="8"/>
    </row>
    <row r="6" spans="1:22" x14ac:dyDescent="0.2">
      <c r="A6" s="18"/>
      <c r="D6" s="19"/>
      <c r="E6" s="20" t="s">
        <v>12</v>
      </c>
      <c r="G6" s="8"/>
      <c r="H6" s="8"/>
      <c r="I6" s="8"/>
      <c r="J6" s="8"/>
      <c r="K6" s="8"/>
      <c r="L6" s="8"/>
      <c r="M6" s="8"/>
      <c r="N6" s="8"/>
    </row>
    <row r="8" spans="1:22" ht="21" customHeight="1" x14ac:dyDescent="0.2">
      <c r="A8" s="21" t="s">
        <v>13</v>
      </c>
      <c r="B8" s="21" t="s">
        <v>14</v>
      </c>
      <c r="C8" s="21" t="s">
        <v>15</v>
      </c>
      <c r="D8" s="22" t="s">
        <v>16</v>
      </c>
      <c r="E8" s="21" t="s">
        <v>17</v>
      </c>
      <c r="F8" s="21" t="s">
        <v>18</v>
      </c>
      <c r="G8" s="23" t="s">
        <v>19</v>
      </c>
      <c r="H8" s="23" t="s">
        <v>20</v>
      </c>
      <c r="I8" s="23" t="s">
        <v>21</v>
      </c>
      <c r="J8" s="23" t="s">
        <v>22</v>
      </c>
      <c r="K8" s="23" t="s">
        <v>23</v>
      </c>
      <c r="L8" s="23" t="s">
        <v>24</v>
      </c>
      <c r="M8" s="23" t="s">
        <v>7</v>
      </c>
      <c r="N8" s="23" t="s">
        <v>25</v>
      </c>
      <c r="O8" s="24" t="s">
        <v>26</v>
      </c>
      <c r="P8" s="24" t="s">
        <v>27</v>
      </c>
      <c r="Q8" s="24" t="s">
        <v>28</v>
      </c>
      <c r="R8" s="24" t="s">
        <v>29</v>
      </c>
      <c r="S8" s="24" t="s">
        <v>30</v>
      </c>
      <c r="T8" s="24" t="s">
        <v>31</v>
      </c>
      <c r="U8" s="24" t="s">
        <v>32</v>
      </c>
      <c r="V8" s="24" t="s">
        <v>33</v>
      </c>
    </row>
    <row r="9" spans="1:22" ht="25.5" x14ac:dyDescent="0.2">
      <c r="A9" s="25" t="s">
        <v>34</v>
      </c>
      <c r="B9" s="25" t="s">
        <v>35</v>
      </c>
      <c r="C9" s="26" t="s">
        <v>36</v>
      </c>
      <c r="D9" s="27"/>
      <c r="E9" s="28" t="s">
        <v>37</v>
      </c>
      <c r="F9" s="29">
        <v>1</v>
      </c>
      <c r="G9" s="30">
        <f>(1.43+1.43+1.42)/3</f>
        <v>1.4266666666666665</v>
      </c>
      <c r="H9" s="30"/>
      <c r="I9" s="30">
        <f>(1.04+1.04+1.13)/3</f>
        <v>1.07</v>
      </c>
      <c r="J9" s="30">
        <f>(1.13+1.13+0.96)/3</f>
        <v>1.0733333333333333</v>
      </c>
      <c r="K9" s="30">
        <f>(0.96+0.96+0.96)/3</f>
        <v>0.96</v>
      </c>
      <c r="L9" s="30">
        <f>(0.83+0.83+1.08)/3</f>
        <v>0.91333333333333344</v>
      </c>
      <c r="M9" s="30">
        <f>(1.07+1.07+1.13)/3</f>
        <v>1.0900000000000001</v>
      </c>
      <c r="N9" s="30" t="s">
        <v>477</v>
      </c>
      <c r="O9" s="31"/>
      <c r="P9" s="31"/>
      <c r="Q9" s="31"/>
      <c r="R9" s="31"/>
      <c r="S9" s="31"/>
      <c r="T9" s="31"/>
      <c r="U9" s="31"/>
      <c r="V9" s="31"/>
    </row>
    <row r="10" spans="1:22" ht="25.5" x14ac:dyDescent="0.2">
      <c r="A10" s="25" t="s">
        <v>38</v>
      </c>
      <c r="B10" s="25" t="s">
        <v>39</v>
      </c>
      <c r="C10" s="32" t="s">
        <v>40</v>
      </c>
      <c r="D10" s="27"/>
      <c r="E10" s="28" t="s">
        <v>37</v>
      </c>
      <c r="F10" s="29">
        <v>1</v>
      </c>
      <c r="G10" s="30">
        <f>(1.45+1.42+1.46)/3</f>
        <v>1.4433333333333334</v>
      </c>
      <c r="H10" s="30">
        <f>(1.06+1.05+1.09)/3</f>
        <v>1.0666666666666667</v>
      </c>
      <c r="I10" s="30">
        <f>(1.02+1.04+1.1)/3</f>
        <v>1.0533333333333335</v>
      </c>
      <c r="J10" s="30">
        <f>(1.09+0.96+0.98)/3</f>
        <v>1.01</v>
      </c>
      <c r="K10" s="30">
        <f>(0.97+0.99+0.98)/3</f>
        <v>0.98</v>
      </c>
      <c r="L10" s="30">
        <f>(0.85+0.87+0.87)/3</f>
        <v>0.86333333333333329</v>
      </c>
      <c r="M10" s="30">
        <f>(1.09+0.817+0.905)/3</f>
        <v>0.93733333333333346</v>
      </c>
      <c r="N10" s="30" t="s">
        <v>478</v>
      </c>
      <c r="O10" s="31"/>
      <c r="P10" s="31"/>
      <c r="Q10" s="31"/>
      <c r="R10" s="31"/>
      <c r="S10" s="31"/>
      <c r="T10" s="31"/>
      <c r="U10" s="31"/>
      <c r="V10" s="31"/>
    </row>
    <row r="11" spans="1:22" ht="25.5" x14ac:dyDescent="0.2">
      <c r="A11" s="25" t="s">
        <v>41</v>
      </c>
      <c r="B11" s="25"/>
      <c r="C11" s="32" t="s">
        <v>42</v>
      </c>
      <c r="D11" s="27"/>
      <c r="E11" s="28" t="s">
        <v>43</v>
      </c>
      <c r="F11" s="29">
        <v>0.99</v>
      </c>
      <c r="G11" s="33"/>
      <c r="H11" s="33"/>
      <c r="I11" s="33"/>
      <c r="J11" s="33"/>
      <c r="K11" s="33"/>
      <c r="L11" s="33"/>
      <c r="M11" s="33"/>
      <c r="N11" s="33"/>
      <c r="O11" s="34"/>
      <c r="P11" s="34"/>
      <c r="Q11" s="34"/>
      <c r="R11" s="34"/>
      <c r="S11" s="34"/>
      <c r="T11" s="34"/>
      <c r="U11" s="34"/>
      <c r="V11" s="34"/>
    </row>
    <row r="12" spans="1:22" ht="25.5" x14ac:dyDescent="0.2">
      <c r="A12" s="25" t="s">
        <v>44</v>
      </c>
      <c r="B12" s="25"/>
      <c r="C12" s="32" t="s">
        <v>45</v>
      </c>
      <c r="D12" s="27"/>
      <c r="E12" s="28" t="s">
        <v>46</v>
      </c>
      <c r="F12" s="35">
        <v>2</v>
      </c>
      <c r="G12" s="36">
        <v>0</v>
      </c>
      <c r="H12" s="36">
        <v>0</v>
      </c>
      <c r="I12" s="36">
        <v>0</v>
      </c>
      <c r="J12" s="36">
        <v>0</v>
      </c>
      <c r="K12" s="36">
        <v>0</v>
      </c>
      <c r="L12" s="36">
        <v>0</v>
      </c>
      <c r="M12" s="36">
        <v>0</v>
      </c>
      <c r="N12" s="36">
        <v>0</v>
      </c>
      <c r="O12" s="34"/>
      <c r="P12" s="34"/>
      <c r="Q12" s="34"/>
      <c r="R12" s="34"/>
      <c r="S12" s="34"/>
      <c r="T12" s="34"/>
      <c r="U12" s="34"/>
      <c r="V12" s="34"/>
    </row>
    <row r="13" spans="1:22" ht="51" x14ac:dyDescent="0.2">
      <c r="A13" s="25" t="s">
        <v>47</v>
      </c>
      <c r="B13" s="25"/>
      <c r="C13" s="32" t="s">
        <v>48</v>
      </c>
      <c r="D13" s="27"/>
      <c r="E13" s="37"/>
      <c r="F13" s="35">
        <v>0</v>
      </c>
      <c r="G13" s="38">
        <v>1</v>
      </c>
      <c r="H13" s="36">
        <v>0</v>
      </c>
      <c r="I13" s="36">
        <v>0</v>
      </c>
      <c r="J13" s="36">
        <v>0</v>
      </c>
      <c r="K13" s="36">
        <v>0</v>
      </c>
      <c r="L13" s="36">
        <v>0</v>
      </c>
      <c r="M13" s="36">
        <v>0</v>
      </c>
      <c r="N13" s="36">
        <v>0</v>
      </c>
      <c r="O13" s="39" t="s">
        <v>49</v>
      </c>
      <c r="P13" s="39"/>
      <c r="Q13" s="39"/>
      <c r="R13" s="39"/>
      <c r="S13" s="39"/>
      <c r="T13" s="39"/>
      <c r="U13" s="39"/>
      <c r="V13" s="39"/>
    </row>
    <row r="14" spans="1:22" ht="51" x14ac:dyDescent="0.2">
      <c r="A14" s="25" t="s">
        <v>50</v>
      </c>
      <c r="B14" s="40"/>
      <c r="C14" s="32" t="s">
        <v>51</v>
      </c>
      <c r="D14" s="41"/>
      <c r="E14" s="42" t="s">
        <v>52</v>
      </c>
      <c r="F14" s="35">
        <v>0</v>
      </c>
      <c r="G14" s="36">
        <v>0</v>
      </c>
      <c r="H14" s="36">
        <v>0</v>
      </c>
      <c r="I14" s="36">
        <v>0</v>
      </c>
      <c r="J14" s="36">
        <v>0</v>
      </c>
      <c r="K14" s="36">
        <v>0</v>
      </c>
      <c r="L14" s="36">
        <v>0</v>
      </c>
      <c r="M14" s="36">
        <v>0</v>
      </c>
      <c r="N14" s="36">
        <v>0</v>
      </c>
      <c r="O14" s="39"/>
      <c r="P14" s="39"/>
      <c r="Q14" s="39"/>
      <c r="R14" s="39"/>
      <c r="S14" s="39"/>
      <c r="T14" s="39"/>
      <c r="U14" s="39"/>
      <c r="V14" s="39"/>
    </row>
    <row r="15" spans="1:22" ht="48.75" customHeight="1" x14ac:dyDescent="0.2">
      <c r="A15" s="25" t="s">
        <v>53</v>
      </c>
      <c r="B15" s="43"/>
      <c r="C15" s="32" t="s">
        <v>54</v>
      </c>
      <c r="D15" s="44"/>
      <c r="E15" s="28" t="s">
        <v>52</v>
      </c>
      <c r="F15" s="29">
        <v>0.93</v>
      </c>
      <c r="G15" s="45">
        <v>0.9</v>
      </c>
      <c r="H15" s="46">
        <v>0.86</v>
      </c>
      <c r="I15" s="46">
        <v>0.83</v>
      </c>
      <c r="J15" s="46">
        <v>0.87</v>
      </c>
      <c r="K15" s="46">
        <v>0.8</v>
      </c>
      <c r="L15" s="47">
        <v>0.95</v>
      </c>
      <c r="M15" s="47">
        <f>15.76 / 16</f>
        <v>0.98499999999999999</v>
      </c>
      <c r="N15" s="47">
        <v>0.99</v>
      </c>
      <c r="O15" s="34"/>
      <c r="P15" s="34"/>
      <c r="Q15" s="34"/>
      <c r="R15" s="34"/>
      <c r="S15" s="34"/>
      <c r="T15" s="34"/>
      <c r="U15" s="34"/>
      <c r="V15" s="34"/>
    </row>
    <row r="16" spans="1:22" x14ac:dyDescent="0.2">
      <c r="A16" s="48"/>
      <c r="B16" s="49"/>
      <c r="C16" s="50"/>
      <c r="D16" s="51"/>
      <c r="E16" s="28"/>
      <c r="F16" s="29"/>
      <c r="G16" s="52"/>
      <c r="H16" s="52"/>
      <c r="I16" s="52"/>
      <c r="J16" s="52"/>
      <c r="K16" s="52"/>
      <c r="L16" s="53"/>
      <c r="M16" s="53"/>
      <c r="N16" s="53"/>
      <c r="O16" s="39"/>
      <c r="P16" s="39"/>
      <c r="Q16" s="39"/>
      <c r="R16" s="39"/>
      <c r="S16" s="39"/>
      <c r="T16" s="39"/>
      <c r="U16" s="39"/>
      <c r="V16" s="39"/>
    </row>
    <row r="17" spans="1:22" ht="25.5" x14ac:dyDescent="0.2">
      <c r="A17" s="25" t="s">
        <v>55</v>
      </c>
      <c r="B17" s="43" t="s">
        <v>56</v>
      </c>
      <c r="C17" s="54" t="s">
        <v>57</v>
      </c>
      <c r="D17" s="55"/>
      <c r="E17" s="56" t="s">
        <v>10</v>
      </c>
      <c r="F17" s="29">
        <v>1</v>
      </c>
      <c r="G17" s="57">
        <f>(2.02+2.02+2.04)/3</f>
        <v>2.0266666666666668</v>
      </c>
      <c r="H17" s="57"/>
      <c r="I17" s="57">
        <f>(1.4+1.4+1.4)/3</f>
        <v>1.3999999999999997</v>
      </c>
      <c r="J17" s="57">
        <f>(1.4+1.58+1.58)/3</f>
        <v>1.5200000000000002</v>
      </c>
      <c r="K17" s="57">
        <f>(1.58+1.58+1.58)/3</f>
        <v>1.58</v>
      </c>
      <c r="L17" s="58">
        <f>(1.55+1.55+1.55)/3</f>
        <v>1.55</v>
      </c>
      <c r="M17" s="58">
        <v>1.5</v>
      </c>
      <c r="N17" s="58">
        <v>1.55</v>
      </c>
      <c r="O17" s="39"/>
      <c r="P17" s="39"/>
      <c r="Q17" s="39"/>
      <c r="R17" s="39"/>
      <c r="S17" s="39"/>
      <c r="T17" s="39"/>
      <c r="U17" s="39"/>
      <c r="V17" s="39"/>
    </row>
    <row r="18" spans="1:22" ht="76.5" x14ac:dyDescent="0.2">
      <c r="A18" s="25" t="s">
        <v>58</v>
      </c>
      <c r="B18" s="43" t="s">
        <v>59</v>
      </c>
      <c r="C18" s="59" t="s">
        <v>60</v>
      </c>
      <c r="D18" s="60"/>
      <c r="E18" s="56" t="s">
        <v>10</v>
      </c>
      <c r="F18" s="29">
        <v>1</v>
      </c>
      <c r="G18" s="61">
        <f>(1+1+1)/3</f>
        <v>1</v>
      </c>
      <c r="H18" s="61">
        <f>(1+1+1)/3</f>
        <v>1</v>
      </c>
      <c r="I18" s="61">
        <f>(1+1+1)/3</f>
        <v>1</v>
      </c>
      <c r="J18" s="61">
        <f>(1+1+1)/3</f>
        <v>1</v>
      </c>
      <c r="K18" s="61">
        <f>(1+1+1)/3</f>
        <v>1</v>
      </c>
      <c r="L18" s="62">
        <f>(0.95+0.95+0.95)/3</f>
        <v>0.94999999999999984</v>
      </c>
      <c r="M18" s="63">
        <v>1</v>
      </c>
      <c r="N18" s="63">
        <v>0.95</v>
      </c>
      <c r="O18" s="64"/>
      <c r="P18" s="64"/>
      <c r="Q18" s="64"/>
      <c r="R18" s="64"/>
      <c r="S18" s="64" t="s">
        <v>61</v>
      </c>
      <c r="T18" s="64"/>
      <c r="U18" s="64"/>
      <c r="V18" s="64"/>
    </row>
    <row r="19" spans="1:22" ht="25.5" x14ac:dyDescent="0.2">
      <c r="A19" s="25" t="s">
        <v>62</v>
      </c>
      <c r="B19" s="43" t="s">
        <v>63</v>
      </c>
      <c r="C19" s="59" t="s">
        <v>64</v>
      </c>
      <c r="D19" s="60"/>
      <c r="E19" s="56" t="s">
        <v>10</v>
      </c>
      <c r="F19" s="29">
        <v>1</v>
      </c>
      <c r="G19" s="61">
        <f>(1+1.12+1)/3</f>
        <v>1.04</v>
      </c>
      <c r="H19" s="61">
        <f>(1+1+1)/3</f>
        <v>1</v>
      </c>
      <c r="I19" s="61">
        <f>(1+1+1)/3</f>
        <v>1</v>
      </c>
      <c r="J19" s="61">
        <f>(0.98+0.98+0.98)/3</f>
        <v>0.98</v>
      </c>
      <c r="K19" s="61">
        <f>(1+1+1)/3</f>
        <v>1</v>
      </c>
      <c r="L19" s="62">
        <f>(0.84+0.84+0.84)/3</f>
        <v>0.84</v>
      </c>
      <c r="M19" s="62">
        <v>0.89</v>
      </c>
      <c r="N19" s="63">
        <v>1</v>
      </c>
      <c r="O19" s="34"/>
      <c r="P19" s="34"/>
      <c r="Q19" s="34"/>
      <c r="R19" s="34"/>
      <c r="S19" s="34" t="s">
        <v>65</v>
      </c>
      <c r="T19" s="34"/>
      <c r="U19" s="34"/>
      <c r="V19" s="34"/>
    </row>
    <row r="20" spans="1:22" ht="25.5" x14ac:dyDescent="0.2">
      <c r="A20" s="25" t="s">
        <v>66</v>
      </c>
      <c r="B20" s="43" t="s">
        <v>67</v>
      </c>
      <c r="C20" s="59" t="s">
        <v>68</v>
      </c>
      <c r="D20" s="60"/>
      <c r="E20" s="56" t="s">
        <v>10</v>
      </c>
      <c r="F20" s="29">
        <v>1</v>
      </c>
      <c r="G20" s="63">
        <f>(1.09+1.09+1.23)/3</f>
        <v>1.1366666666666667</v>
      </c>
      <c r="H20" s="63"/>
      <c r="I20" s="63">
        <f>(1.15+1.15+1.15)/3</f>
        <v>1.1499999999999999</v>
      </c>
      <c r="J20" s="63">
        <f>(1.16+1.14+1.15)/3</f>
        <v>1.1499999999999999</v>
      </c>
      <c r="K20" s="61">
        <f>(1.14+1.13+1.1)/3</f>
        <v>1.1233333333333333</v>
      </c>
      <c r="L20" s="62">
        <f>(0.97+0.97+0.95)/3</f>
        <v>0.96333333333333326</v>
      </c>
      <c r="M20" s="63">
        <v>1.1599999999999999</v>
      </c>
      <c r="N20" s="63">
        <v>0.98</v>
      </c>
      <c r="O20" s="34"/>
      <c r="P20" s="34"/>
      <c r="Q20" s="34"/>
      <c r="R20" s="34"/>
      <c r="S20" s="34" t="s">
        <v>69</v>
      </c>
      <c r="T20" s="34"/>
      <c r="U20" s="34"/>
      <c r="V20" s="34"/>
    </row>
    <row r="21" spans="1:22" ht="38.25" x14ac:dyDescent="0.2">
      <c r="A21" s="25" t="s">
        <v>70</v>
      </c>
      <c r="B21" s="43" t="s">
        <v>71</v>
      </c>
      <c r="C21" s="59" t="s">
        <v>72</v>
      </c>
      <c r="D21" s="60"/>
      <c r="E21" s="28" t="s">
        <v>73</v>
      </c>
      <c r="F21" s="65">
        <v>2</v>
      </c>
      <c r="G21" s="66">
        <f>(0+0+0)/3</f>
        <v>0</v>
      </c>
      <c r="H21" s="66">
        <f>(0+0+0)/3</f>
        <v>0</v>
      </c>
      <c r="I21" s="66">
        <f>(0+0+1)/3</f>
        <v>0.33333333333333331</v>
      </c>
      <c r="J21" s="66">
        <f>(1+0+0)/3</f>
        <v>0.33333333333333331</v>
      </c>
      <c r="K21" s="66">
        <f>(1+0+0)/3</f>
        <v>0.33333333333333331</v>
      </c>
      <c r="L21" s="67">
        <f>(1+0+0)/3</f>
        <v>0.33333333333333331</v>
      </c>
      <c r="M21" s="67">
        <v>0.33</v>
      </c>
      <c r="N21" s="67">
        <v>0</v>
      </c>
      <c r="O21" s="68"/>
      <c r="P21" s="68"/>
      <c r="Q21" s="68"/>
      <c r="R21" s="68"/>
      <c r="S21" s="68"/>
      <c r="T21" s="68"/>
      <c r="U21" s="68"/>
      <c r="V21" s="68"/>
    </row>
    <row r="22" spans="1:22" ht="78" customHeight="1" x14ac:dyDescent="0.2">
      <c r="A22" s="25" t="s">
        <v>74</v>
      </c>
      <c r="B22" s="43" t="s">
        <v>75</v>
      </c>
      <c r="C22" s="59" t="s">
        <v>76</v>
      </c>
      <c r="D22" s="60"/>
      <c r="E22" s="28" t="s">
        <v>73</v>
      </c>
      <c r="F22" s="29">
        <v>0.01</v>
      </c>
      <c r="G22" s="69">
        <f>(0.0032+0.0032+0.0023)/3</f>
        <v>2.8999999999999998E-3</v>
      </c>
      <c r="H22" s="69">
        <f>(0.0035+0.0032+0.0023)/3</f>
        <v>3.0000000000000005E-3</v>
      </c>
      <c r="I22" s="69">
        <f>(0.0003+0.0015+0.0028)/3</f>
        <v>1.5333333333333334E-3</v>
      </c>
      <c r="J22" s="69">
        <f>(0.0037+0.0026+0.0014)/3</f>
        <v>2.5666666666666667E-3</v>
      </c>
      <c r="K22" s="69">
        <f>(0.0104+0.0007+0.0002)/3</f>
        <v>3.7666666666666664E-3</v>
      </c>
      <c r="L22" s="70">
        <f>(0.0012+0.0014+0.0052)/3</f>
        <v>2.5999999999999999E-3</v>
      </c>
      <c r="M22" s="70">
        <v>4.1000000000000003E-3</v>
      </c>
      <c r="N22" s="70" t="s">
        <v>479</v>
      </c>
      <c r="O22" s="39"/>
      <c r="P22" s="39"/>
      <c r="Q22" s="39"/>
      <c r="R22" s="39"/>
      <c r="S22" s="39"/>
      <c r="T22" s="39"/>
      <c r="U22" s="39"/>
      <c r="V22" s="39" t="s">
        <v>480</v>
      </c>
    </row>
    <row r="23" spans="1:22" ht="25.5" x14ac:dyDescent="0.2">
      <c r="A23" s="25" t="s">
        <v>35</v>
      </c>
      <c r="B23" s="43" t="s">
        <v>77</v>
      </c>
      <c r="C23" s="59" t="s">
        <v>78</v>
      </c>
      <c r="D23" s="60"/>
      <c r="E23" s="28" t="s">
        <v>79</v>
      </c>
      <c r="F23" s="35">
        <v>1</v>
      </c>
      <c r="G23" s="66">
        <f>(0+0+0)/3</f>
        <v>0</v>
      </c>
      <c r="H23" s="66">
        <f>(0+0+0)/3</f>
        <v>0</v>
      </c>
      <c r="I23" s="66">
        <f>(0+1+0)/3</f>
        <v>0.33333333333333331</v>
      </c>
      <c r="J23" s="66">
        <f>(0+0+0)/3</f>
        <v>0</v>
      </c>
      <c r="K23" s="66">
        <f>(0+0+0)/3</f>
        <v>0</v>
      </c>
      <c r="L23" s="71">
        <f>(0+0+0)/3</f>
        <v>0</v>
      </c>
      <c r="M23" s="71">
        <v>0.33</v>
      </c>
      <c r="N23" s="71">
        <v>0</v>
      </c>
      <c r="O23" s="72"/>
      <c r="P23" s="72"/>
      <c r="Q23" s="72"/>
      <c r="R23" s="72"/>
      <c r="S23" s="72"/>
      <c r="T23" s="72"/>
      <c r="U23" s="72" t="s">
        <v>80</v>
      </c>
      <c r="V23" s="72"/>
    </row>
    <row r="24" spans="1:22" ht="127.5" x14ac:dyDescent="0.2">
      <c r="A24" s="25" t="s">
        <v>56</v>
      </c>
      <c r="B24" s="73" t="s">
        <v>81</v>
      </c>
      <c r="C24" s="59" t="s">
        <v>82</v>
      </c>
      <c r="D24" s="60" t="s">
        <v>83</v>
      </c>
      <c r="E24" s="28" t="s">
        <v>84</v>
      </c>
      <c r="F24" s="29">
        <v>0.99</v>
      </c>
      <c r="G24" s="74">
        <f>(0.98+0.84+0.95)/3</f>
        <v>0.92333333333333323</v>
      </c>
      <c r="H24" s="74">
        <f>(0.89+0.9+0.98)/3</f>
        <v>0.92333333333333334</v>
      </c>
      <c r="I24" s="75">
        <f>(0.95+0.99+1)/3</f>
        <v>0.98</v>
      </c>
      <c r="J24" s="76">
        <f>(1+0.99+0.99)/3</f>
        <v>0.99333333333333329</v>
      </c>
      <c r="K24" s="77">
        <f>(0.92+1+0.99)/3</f>
        <v>0.97000000000000008</v>
      </c>
      <c r="L24" s="76">
        <f>(0.99+0.99+1)/3</f>
        <v>0.99333333333333329</v>
      </c>
      <c r="M24" s="76">
        <v>1</v>
      </c>
      <c r="N24" s="76"/>
      <c r="O24" s="78" t="s">
        <v>85</v>
      </c>
      <c r="P24" s="79" t="s">
        <v>86</v>
      </c>
      <c r="Q24" s="79" t="s">
        <v>87</v>
      </c>
      <c r="R24" s="79"/>
      <c r="S24" s="79" t="s">
        <v>88</v>
      </c>
      <c r="T24" s="79"/>
      <c r="U24" s="79"/>
      <c r="V24" s="79"/>
    </row>
    <row r="25" spans="1:22" ht="38.25" x14ac:dyDescent="0.2">
      <c r="A25" s="25" t="s">
        <v>59</v>
      </c>
      <c r="B25" s="73" t="s">
        <v>89</v>
      </c>
      <c r="C25" s="59" t="s">
        <v>90</v>
      </c>
      <c r="D25" s="60" t="s">
        <v>83</v>
      </c>
      <c r="E25" s="28" t="s">
        <v>84</v>
      </c>
      <c r="F25" s="29">
        <v>0.99</v>
      </c>
      <c r="G25" s="80">
        <f>(0.87+1+1)/3</f>
        <v>0.95666666666666667</v>
      </c>
      <c r="H25" s="61">
        <f>(1+1+1)/3</f>
        <v>1</v>
      </c>
      <c r="I25" s="61">
        <f>(1+1+1)/3</f>
        <v>1</v>
      </c>
      <c r="J25" s="61">
        <f>(1+1+1)/3</f>
        <v>1</v>
      </c>
      <c r="K25" s="61">
        <f>(1+0.99+1)/3</f>
        <v>0.9966666666666667</v>
      </c>
      <c r="L25" s="61">
        <f>(1+0.99+1)/3</f>
        <v>0.9966666666666667</v>
      </c>
      <c r="M25" s="61">
        <v>1</v>
      </c>
      <c r="N25" s="61" t="s">
        <v>481</v>
      </c>
      <c r="O25" s="78" t="s">
        <v>91</v>
      </c>
      <c r="P25" s="78"/>
      <c r="Q25" s="78"/>
      <c r="R25" s="78"/>
      <c r="S25" s="78"/>
      <c r="T25" s="78"/>
      <c r="U25" s="78"/>
      <c r="V25" s="78"/>
    </row>
    <row r="26" spans="1:22" ht="158.25" customHeight="1" x14ac:dyDescent="0.2">
      <c r="A26" s="25" t="s">
        <v>92</v>
      </c>
      <c r="B26" s="73" t="s">
        <v>93</v>
      </c>
      <c r="C26" s="59" t="s">
        <v>94</v>
      </c>
      <c r="D26" s="60" t="s">
        <v>83</v>
      </c>
      <c r="E26" s="28" t="s">
        <v>84</v>
      </c>
      <c r="F26" s="29">
        <v>0.99</v>
      </c>
      <c r="G26" s="81">
        <f>(1+0.97+0.96)/3</f>
        <v>0.97666666666666657</v>
      </c>
      <c r="H26" s="80">
        <f>(0.9+0.84+0.95)/3</f>
        <v>0.89666666666666661</v>
      </c>
      <c r="I26" s="80">
        <f>(0.91+0.95+0.96)/3</f>
        <v>0.94</v>
      </c>
      <c r="J26" s="81">
        <f>(0.96+0.99+0.99)/3</f>
        <v>0.98</v>
      </c>
      <c r="K26" s="61">
        <f>(1+1+0.98)/3</f>
        <v>0.99333333333333329</v>
      </c>
      <c r="L26" s="61">
        <f>(0.98+0.99+0.97)/3</f>
        <v>0.98</v>
      </c>
      <c r="M26" s="82">
        <v>0.92</v>
      </c>
      <c r="N26" s="234"/>
      <c r="O26" s="83" t="s">
        <v>95</v>
      </c>
      <c r="P26" s="83" t="s">
        <v>96</v>
      </c>
      <c r="Q26" s="83" t="s">
        <v>97</v>
      </c>
      <c r="R26" s="83" t="s">
        <v>98</v>
      </c>
      <c r="S26" s="83"/>
      <c r="T26" s="83"/>
      <c r="U26" s="83"/>
      <c r="V26" s="83"/>
    </row>
    <row r="27" spans="1:22" ht="76.5" x14ac:dyDescent="0.2">
      <c r="A27" s="25" t="s">
        <v>99</v>
      </c>
      <c r="B27" s="73" t="s">
        <v>100</v>
      </c>
      <c r="C27" s="59" t="s">
        <v>101</v>
      </c>
      <c r="D27" s="60" t="s">
        <v>83</v>
      </c>
      <c r="E27" s="28" t="s">
        <v>84</v>
      </c>
      <c r="F27" s="29">
        <v>0.99</v>
      </c>
      <c r="G27" s="80">
        <f>(0.97+0.98+0.97)/3</f>
        <v>0.97333333333333327</v>
      </c>
      <c r="H27" s="81">
        <f>(0.92+0.99+1)/3</f>
        <v>0.97000000000000008</v>
      </c>
      <c r="I27" s="80">
        <f>(0.99+1+0.88)/3</f>
        <v>0.95666666666666667</v>
      </c>
      <c r="J27" s="61">
        <f>(1+1+1)/3</f>
        <v>1</v>
      </c>
      <c r="K27" s="61">
        <f>(1+1+1)/3</f>
        <v>1</v>
      </c>
      <c r="L27" s="61">
        <f>(1+1+1)/3</f>
        <v>1</v>
      </c>
      <c r="M27" s="61">
        <f>(1+1+1)/3</f>
        <v>1</v>
      </c>
      <c r="N27" s="61"/>
      <c r="O27" s="78" t="s">
        <v>102</v>
      </c>
      <c r="P27" s="78" t="s">
        <v>103</v>
      </c>
      <c r="Q27" s="78" t="s">
        <v>104</v>
      </c>
      <c r="R27" s="78"/>
      <c r="S27" s="78"/>
      <c r="T27" s="78"/>
      <c r="U27" s="78"/>
      <c r="V27" s="78"/>
    </row>
    <row r="28" spans="1:22" ht="25.5" x14ac:dyDescent="0.2">
      <c r="A28" s="25" t="s">
        <v>105</v>
      </c>
      <c r="B28" s="73" t="s">
        <v>106</v>
      </c>
      <c r="C28" s="59" t="s">
        <v>107</v>
      </c>
      <c r="D28" s="60"/>
      <c r="E28" s="28" t="s">
        <v>79</v>
      </c>
      <c r="F28" s="29">
        <v>0.99</v>
      </c>
      <c r="G28" s="61">
        <f>(1+1+1)/3</f>
        <v>1</v>
      </c>
      <c r="H28" s="61">
        <f>(1+1+1)/3</f>
        <v>1</v>
      </c>
      <c r="I28" s="61">
        <f>(1+0.9916+1)/3</f>
        <v>0.99719999999999998</v>
      </c>
      <c r="J28" s="61">
        <f>(1+0.9916+1)/3</f>
        <v>0.99719999999999998</v>
      </c>
      <c r="K28" s="61">
        <f>(0.9984+1+1)/3</f>
        <v>0.99946666666666673</v>
      </c>
      <c r="L28" s="61">
        <f>(0.9986+1+1)/3</f>
        <v>0.99953333333333338</v>
      </c>
      <c r="M28" s="61">
        <v>1</v>
      </c>
      <c r="N28" s="61" t="s">
        <v>481</v>
      </c>
      <c r="O28" s="84"/>
      <c r="P28" s="84"/>
      <c r="Q28" s="84"/>
      <c r="R28" s="84"/>
      <c r="S28" s="84"/>
      <c r="T28" s="84"/>
      <c r="U28" s="84"/>
      <c r="V28" s="84"/>
    </row>
    <row r="29" spans="1:22" x14ac:dyDescent="0.2">
      <c r="A29" s="85"/>
      <c r="B29" s="86"/>
      <c r="C29" s="87"/>
      <c r="D29" s="88"/>
      <c r="E29" s="42"/>
      <c r="F29" s="52"/>
      <c r="G29" s="52"/>
      <c r="H29" s="52"/>
      <c r="I29" s="52"/>
      <c r="J29" s="52"/>
      <c r="K29" s="52"/>
      <c r="L29" s="52"/>
      <c r="M29" s="52"/>
      <c r="N29" s="52"/>
      <c r="O29" s="84"/>
      <c r="P29" s="84"/>
      <c r="Q29" s="84"/>
      <c r="R29" s="84"/>
      <c r="S29" s="84"/>
      <c r="T29" s="84"/>
      <c r="U29" s="84"/>
      <c r="V29" s="84"/>
    </row>
    <row r="30" spans="1:22" ht="55.5" customHeight="1" x14ac:dyDescent="0.2">
      <c r="A30" s="25" t="s">
        <v>108</v>
      </c>
      <c r="B30" s="43" t="s">
        <v>58</v>
      </c>
      <c r="C30" s="26" t="s">
        <v>109</v>
      </c>
      <c r="D30" s="60"/>
      <c r="E30" s="28" t="s">
        <v>46</v>
      </c>
      <c r="F30" s="29">
        <v>0.97</v>
      </c>
      <c r="G30" s="76">
        <f>(0.99+1+1)/3</f>
        <v>0.9966666666666667</v>
      </c>
      <c r="H30" s="76">
        <f>(0.98+0.98+1)/3</f>
        <v>0.98666666666666669</v>
      </c>
      <c r="I30" s="76">
        <f>(0.992+0.996+0.999)/3</f>
        <v>0.9956666666666667</v>
      </c>
      <c r="J30" s="76">
        <f>(1+0.995+0.998)/3</f>
        <v>0.99766666666666681</v>
      </c>
      <c r="K30" s="76">
        <f>(0.985+1+0.992)/3</f>
        <v>0.99233333333333329</v>
      </c>
      <c r="L30" s="74">
        <f>(0.99+0.69+0.847)/3</f>
        <v>0.84233333333333338</v>
      </c>
      <c r="M30" s="61">
        <f>(0.99+1+0.996)/3</f>
        <v>0.99533333333333329</v>
      </c>
      <c r="N30" s="61" t="s">
        <v>482</v>
      </c>
      <c r="O30" s="78"/>
      <c r="P30" s="78"/>
      <c r="Q30" s="78"/>
      <c r="R30" s="78"/>
      <c r="S30" s="78" t="s">
        <v>110</v>
      </c>
      <c r="T30" s="78"/>
      <c r="U30" s="78"/>
      <c r="V30" s="78"/>
    </row>
    <row r="31" spans="1:22" ht="31.5" customHeight="1" x14ac:dyDescent="0.2">
      <c r="A31" s="25" t="s">
        <v>111</v>
      </c>
      <c r="B31" s="43" t="s">
        <v>99</v>
      </c>
      <c r="C31" s="89" t="s">
        <v>112</v>
      </c>
      <c r="D31" s="60"/>
      <c r="E31" s="28" t="s">
        <v>46</v>
      </c>
      <c r="F31" s="29">
        <v>0.97</v>
      </c>
      <c r="G31" s="80">
        <f>(0.87+1+1)/3</f>
        <v>0.95666666666666667</v>
      </c>
      <c r="H31" s="61">
        <f>(1+1+1)/3</f>
        <v>1</v>
      </c>
      <c r="I31" s="61">
        <f>(1+1+1)/3</f>
        <v>1</v>
      </c>
      <c r="J31" s="61">
        <f>(1+1+1)/3</f>
        <v>1</v>
      </c>
      <c r="K31" s="61">
        <f>(1+0.99+1)/3</f>
        <v>0.9966666666666667</v>
      </c>
      <c r="L31" s="61">
        <f>(0.99+1+1)/3</f>
        <v>0.9966666666666667</v>
      </c>
      <c r="M31" s="61">
        <v>1</v>
      </c>
      <c r="N31" s="61">
        <v>0.98699999999999999</v>
      </c>
      <c r="O31" s="78" t="s">
        <v>113</v>
      </c>
      <c r="P31" s="78"/>
      <c r="Q31" s="78"/>
      <c r="R31" s="78"/>
      <c r="S31" s="78"/>
      <c r="T31" s="78"/>
      <c r="U31" s="78"/>
      <c r="V31" s="78"/>
    </row>
    <row r="32" spans="1:22" ht="25.5" x14ac:dyDescent="0.2">
      <c r="A32" s="25" t="s">
        <v>114</v>
      </c>
      <c r="B32" s="43" t="s">
        <v>105</v>
      </c>
      <c r="C32" s="32" t="s">
        <v>115</v>
      </c>
      <c r="D32" s="60"/>
      <c r="E32" s="28" t="s">
        <v>46</v>
      </c>
      <c r="F32" s="29">
        <v>0.97</v>
      </c>
      <c r="G32" s="74">
        <f>(0.98+0.84+0.95)/3</f>
        <v>0.92333333333333323</v>
      </c>
      <c r="H32" s="74">
        <f>(0.89+0.9+0.98)/3</f>
        <v>0.92333333333333334</v>
      </c>
      <c r="I32" s="61">
        <f>(0.95+0.99+1)/3</f>
        <v>0.98</v>
      </c>
      <c r="J32" s="61">
        <f>(1+0.99+0.99)/3</f>
        <v>0.99333333333333329</v>
      </c>
      <c r="K32" s="81">
        <f>(0.92+1+0.99)/3</f>
        <v>0.97000000000000008</v>
      </c>
      <c r="L32" s="61">
        <f>(0.99+0.99+1)/3</f>
        <v>0.99333333333333329</v>
      </c>
      <c r="M32" s="61">
        <f>(0.99+1+1)/3</f>
        <v>0.9966666666666667</v>
      </c>
      <c r="N32" s="61">
        <v>0.99299999999999999</v>
      </c>
      <c r="O32" s="78" t="s">
        <v>116</v>
      </c>
      <c r="P32" s="78" t="s">
        <v>116</v>
      </c>
      <c r="Q32" s="78" t="s">
        <v>116</v>
      </c>
      <c r="R32" s="78"/>
      <c r="S32" s="78" t="s">
        <v>116</v>
      </c>
      <c r="T32" s="78"/>
      <c r="U32" s="78"/>
      <c r="V32" s="78"/>
    </row>
    <row r="33" spans="1:22" ht="76.5" x14ac:dyDescent="0.2">
      <c r="A33" s="25" t="s">
        <v>117</v>
      </c>
      <c r="B33" s="43" t="s">
        <v>118</v>
      </c>
      <c r="C33" s="32" t="s">
        <v>119</v>
      </c>
      <c r="D33" s="27"/>
      <c r="E33" s="28" t="s">
        <v>46</v>
      </c>
      <c r="F33" s="29">
        <v>0.97</v>
      </c>
      <c r="G33" s="81">
        <f>(1+0.97+0.96)/3</f>
        <v>0.97666666666666657</v>
      </c>
      <c r="H33" s="80">
        <f>(0.9+0.84+0.95)/3</f>
        <v>0.89666666666666661</v>
      </c>
      <c r="I33" s="80">
        <f>(0.91+0.95+0.96)/3</f>
        <v>0.94</v>
      </c>
      <c r="J33" s="81">
        <f>(0.96+0.99+0.99)/3</f>
        <v>0.98</v>
      </c>
      <c r="K33" s="61">
        <f>(1+1+0.98)/3</f>
        <v>0.99333333333333329</v>
      </c>
      <c r="L33" s="61">
        <f>(0.98+0.99+0.97)/3</f>
        <v>0.98</v>
      </c>
      <c r="M33" s="80">
        <f>(0.97+0.79+0.99)/3</f>
        <v>0.91666666666666663</v>
      </c>
      <c r="N33" s="232">
        <v>0.97299999999999998</v>
      </c>
      <c r="O33" s="78" t="s">
        <v>120</v>
      </c>
      <c r="P33" s="78" t="s">
        <v>121</v>
      </c>
      <c r="Q33" s="78" t="s">
        <v>121</v>
      </c>
      <c r="R33" s="78" t="s">
        <v>121</v>
      </c>
      <c r="S33" s="78"/>
      <c r="T33" s="78"/>
      <c r="U33" s="78"/>
      <c r="V33" s="78"/>
    </row>
    <row r="34" spans="1:22" ht="25.5" x14ac:dyDescent="0.2">
      <c r="A34" s="25" t="s">
        <v>122</v>
      </c>
      <c r="B34" s="73" t="s">
        <v>123</v>
      </c>
      <c r="C34" s="32" t="s">
        <v>124</v>
      </c>
      <c r="D34" s="27"/>
      <c r="E34" s="28" t="s">
        <v>46</v>
      </c>
      <c r="F34" s="29">
        <v>0.97</v>
      </c>
      <c r="G34" s="90">
        <f>(0.97+0.98+0.97)/3</f>
        <v>0.97333333333333327</v>
      </c>
      <c r="H34" s="90">
        <f>(0.92+0.99+1)/3</f>
        <v>0.97000000000000008</v>
      </c>
      <c r="I34" s="81">
        <f>(0.99+1+0.88)/3</f>
        <v>0.95666666666666667</v>
      </c>
      <c r="J34" s="61">
        <f>(1+1+1)/3</f>
        <v>1</v>
      </c>
      <c r="K34" s="61">
        <f>(1+1+1)/3</f>
        <v>1</v>
      </c>
      <c r="L34" s="61">
        <f>(1+1+1)/3</f>
        <v>1</v>
      </c>
      <c r="M34" s="61">
        <v>1</v>
      </c>
      <c r="N34" s="61">
        <v>1</v>
      </c>
      <c r="O34" s="78" t="s">
        <v>125</v>
      </c>
      <c r="P34" s="78" t="s">
        <v>126</v>
      </c>
      <c r="Q34" s="78" t="s">
        <v>126</v>
      </c>
      <c r="R34" s="78"/>
      <c r="S34" s="78"/>
      <c r="T34" s="78"/>
      <c r="U34" s="78"/>
      <c r="V34" s="78"/>
    </row>
    <row r="35" spans="1:22" ht="25.5" x14ac:dyDescent="0.2">
      <c r="A35" s="25" t="s">
        <v>127</v>
      </c>
      <c r="B35" s="73" t="s">
        <v>128</v>
      </c>
      <c r="C35" s="32" t="s">
        <v>129</v>
      </c>
      <c r="D35" s="27"/>
      <c r="E35" s="28" t="s">
        <v>10</v>
      </c>
      <c r="F35" s="29">
        <v>0.95</v>
      </c>
      <c r="G35" s="61">
        <f>((1+1+1)*42+(168-42)*(1+1+1))/(168*3)</f>
        <v>1</v>
      </c>
      <c r="H35" s="61">
        <f>(1+1+1)/3</f>
        <v>1</v>
      </c>
      <c r="I35" s="61">
        <f>(1+1+1)/3</f>
        <v>1</v>
      </c>
      <c r="J35" s="61">
        <f>((1+1+1)*42+(168-42)*(1+1+1))/(168*3)</f>
        <v>1</v>
      </c>
      <c r="K35" s="61">
        <f>((1+1+1)*42+(168-42)*(1+1+1))/(168*3)</f>
        <v>1</v>
      </c>
      <c r="L35" s="61">
        <f>((1+1+1)*42+(168-42)*(1+1+1))/(168*3)</f>
        <v>1</v>
      </c>
      <c r="M35" s="61">
        <v>1</v>
      </c>
      <c r="N35" s="61">
        <v>1</v>
      </c>
      <c r="O35" s="78"/>
      <c r="P35" s="78"/>
      <c r="Q35" s="78"/>
      <c r="R35" s="78"/>
      <c r="S35" s="78"/>
      <c r="T35" s="78"/>
      <c r="U35" s="78"/>
      <c r="V35" s="78"/>
    </row>
    <row r="36" spans="1:22" ht="38.25" x14ac:dyDescent="0.2">
      <c r="A36" s="25" t="s">
        <v>130</v>
      </c>
      <c r="B36" s="73" t="s">
        <v>131</v>
      </c>
      <c r="C36" s="32" t="s">
        <v>132</v>
      </c>
      <c r="D36" s="27"/>
      <c r="E36" s="28" t="s">
        <v>10</v>
      </c>
      <c r="F36" s="35" t="s">
        <v>133</v>
      </c>
      <c r="G36" s="91">
        <f>(0+0+1)/3</f>
        <v>0.33333333333333331</v>
      </c>
      <c r="H36" s="91">
        <f>(0+0+1)/3</f>
        <v>0.33333333333333331</v>
      </c>
      <c r="I36" s="91">
        <f>(3+4+0)/3</f>
        <v>2.3333333333333335</v>
      </c>
      <c r="J36" s="91">
        <f>(0+0+1)/3</f>
        <v>0.33333333333333331</v>
      </c>
      <c r="K36" s="91">
        <f>(3+0+1)/3</f>
        <v>1.3333333333333333</v>
      </c>
      <c r="L36" s="91">
        <f>(0+0+1)/3</f>
        <v>0.33333333333333331</v>
      </c>
      <c r="M36" s="91">
        <f>(1+3+2)/3</f>
        <v>2</v>
      </c>
      <c r="N36" s="91">
        <v>0</v>
      </c>
      <c r="O36" s="78"/>
      <c r="P36" s="78"/>
      <c r="Q36" s="78"/>
      <c r="R36" s="78"/>
      <c r="S36" s="78"/>
      <c r="T36" s="78"/>
      <c r="U36" s="78"/>
      <c r="V36" s="78"/>
    </row>
    <row r="37" spans="1:22" ht="25.5" x14ac:dyDescent="0.2">
      <c r="A37" s="25" t="s">
        <v>134</v>
      </c>
      <c r="B37" s="73" t="s">
        <v>135</v>
      </c>
      <c r="C37" s="32" t="s">
        <v>136</v>
      </c>
      <c r="D37" s="27"/>
      <c r="E37" s="28" t="s">
        <v>10</v>
      </c>
      <c r="F37" s="29">
        <v>0.7</v>
      </c>
      <c r="G37" s="92">
        <f>(0.84+0.79+0.72)/3</f>
        <v>0.78333333333333321</v>
      </c>
      <c r="H37" s="92">
        <f>(0.67+0.77+0.88)/3</f>
        <v>0.77333333333333332</v>
      </c>
      <c r="I37" s="92">
        <f>(0.88+0.85+0.89)/3</f>
        <v>0.87333333333333341</v>
      </c>
      <c r="J37" s="92">
        <f>(0.87+0.84+0.84)/3</f>
        <v>0.85</v>
      </c>
      <c r="K37" s="92">
        <f>(0.86+0.85+0.82)/3</f>
        <v>0.84333333333333327</v>
      </c>
      <c r="L37" s="92">
        <f>(0.82+0.85+0.86)/3</f>
        <v>0.84333333333333327</v>
      </c>
      <c r="M37" s="92">
        <f>(0.866+0.882+0.875)/3</f>
        <v>0.87433333333333341</v>
      </c>
      <c r="N37" s="92">
        <v>0.82299999999999995</v>
      </c>
      <c r="O37" s="78"/>
      <c r="P37" s="78"/>
      <c r="Q37" s="78"/>
      <c r="R37" s="78"/>
      <c r="S37" s="78"/>
      <c r="T37" s="78"/>
      <c r="U37" s="78"/>
      <c r="V37" s="78"/>
    </row>
    <row r="38" spans="1:22" x14ac:dyDescent="0.2">
      <c r="A38" s="25" t="s">
        <v>137</v>
      </c>
      <c r="B38" s="73" t="s">
        <v>138</v>
      </c>
      <c r="C38" s="32" t="s">
        <v>139</v>
      </c>
      <c r="D38" s="27"/>
      <c r="E38" s="28" t="s">
        <v>10</v>
      </c>
      <c r="F38" s="29">
        <v>0.7</v>
      </c>
      <c r="G38" s="92">
        <f>(0.97+0.88+0.98)/3</f>
        <v>0.94333333333333336</v>
      </c>
      <c r="H38" s="92">
        <f>(0.94+0.95+0.96)/3</f>
        <v>0.94999999999999984</v>
      </c>
      <c r="I38" s="92">
        <f>(0.97+0.85+0.9)/3</f>
        <v>0.90666666666666662</v>
      </c>
      <c r="J38" s="92">
        <f>(0.92+0.89+0.98)/3</f>
        <v>0.93</v>
      </c>
      <c r="K38" s="92">
        <f>(0.98+0.87+0.96)/3</f>
        <v>0.93666666666666665</v>
      </c>
      <c r="L38" s="92">
        <f>(0.93+0.93+0.91)/3</f>
        <v>0.92333333333333334</v>
      </c>
      <c r="M38" s="92">
        <f>(0.943+0.97+0.92)/3</f>
        <v>0.94433333333333325</v>
      </c>
      <c r="N38" s="92">
        <v>0.97099999999999997</v>
      </c>
      <c r="O38" s="78"/>
      <c r="P38" s="78"/>
      <c r="Q38" s="78"/>
      <c r="R38" s="78"/>
      <c r="S38" s="78"/>
      <c r="T38" s="78"/>
      <c r="U38" s="78"/>
      <c r="V38" s="78"/>
    </row>
    <row r="39" spans="1:22" ht="25.5" x14ac:dyDescent="0.2">
      <c r="A39" s="25" t="s">
        <v>140</v>
      </c>
      <c r="B39" s="73" t="s">
        <v>141</v>
      </c>
      <c r="C39" s="32" t="s">
        <v>142</v>
      </c>
      <c r="D39" s="27"/>
      <c r="E39" s="28" t="s">
        <v>10</v>
      </c>
      <c r="F39" s="29">
        <v>0.2</v>
      </c>
      <c r="G39" s="92">
        <f>(0.78+0.79+0.75)/3</f>
        <v>0.77333333333333343</v>
      </c>
      <c r="H39" s="92"/>
      <c r="I39" s="92">
        <f>(0.47+0.46+0.47)/3</f>
        <v>0.46666666666666662</v>
      </c>
      <c r="J39" s="92">
        <f>(0.51+0.54+0.54)/3</f>
        <v>0.53</v>
      </c>
      <c r="K39" s="92">
        <f>(0.52+0.45+0.44)/3</f>
        <v>0.47</v>
      </c>
      <c r="L39" s="92">
        <f>(0.45+0.43+0.33)/3</f>
        <v>0.40333333333333332</v>
      </c>
      <c r="M39" s="92">
        <f>(0.275+0.27+0.52)/3</f>
        <v>0.35499999999999998</v>
      </c>
      <c r="N39" s="92"/>
      <c r="O39" s="78"/>
      <c r="P39" s="78"/>
      <c r="Q39" s="78"/>
      <c r="R39" s="78"/>
      <c r="S39" s="78"/>
      <c r="T39" s="78"/>
      <c r="U39" s="78"/>
      <c r="V39" s="78"/>
    </row>
    <row r="40" spans="1:22" x14ac:dyDescent="0.2">
      <c r="A40" s="25" t="s">
        <v>143</v>
      </c>
      <c r="B40" s="73" t="s">
        <v>144</v>
      </c>
      <c r="C40" s="93" t="s">
        <v>145</v>
      </c>
      <c r="D40" s="27"/>
      <c r="E40" s="28" t="s">
        <v>79</v>
      </c>
      <c r="F40" s="65">
        <f>6770*0.8</f>
        <v>5416</v>
      </c>
      <c r="G40" s="94">
        <f>(22900+22480+21970)/3</f>
        <v>22450</v>
      </c>
      <c r="H40" s="94">
        <f>(22600+23500+24100)/3</f>
        <v>23400</v>
      </c>
      <c r="I40" s="95">
        <f>(24800+26900+27600)/3</f>
        <v>26433.333333333332</v>
      </c>
      <c r="J40" s="95">
        <f>(28700+31500+32700)/3</f>
        <v>30966.666666666668</v>
      </c>
      <c r="K40" s="95">
        <f>(33400+34300+35000)/3</f>
        <v>34233.333333333336</v>
      </c>
      <c r="L40" s="95">
        <f>(36890+36940+35800)/3</f>
        <v>36543.333333333336</v>
      </c>
      <c r="M40" s="95">
        <v>38500</v>
      </c>
      <c r="N40" s="95">
        <v>41034</v>
      </c>
      <c r="O40" s="78"/>
      <c r="P40" s="78"/>
      <c r="Q40" s="78"/>
      <c r="R40" s="78"/>
      <c r="S40" s="78"/>
      <c r="T40" s="78"/>
      <c r="U40" s="78"/>
      <c r="V40" s="78"/>
    </row>
    <row r="41" spans="1:22" x14ac:dyDescent="0.2">
      <c r="O41" s="2"/>
      <c r="P41" s="2"/>
      <c r="Q41" s="2"/>
      <c r="R41" s="2"/>
      <c r="S41" s="2"/>
      <c r="T41" s="2"/>
      <c r="U41" s="2"/>
      <c r="V41" s="2"/>
    </row>
    <row r="42" spans="1:22" x14ac:dyDescent="0.2">
      <c r="A42" s="96" t="s">
        <v>146</v>
      </c>
    </row>
    <row r="43" spans="1:22" ht="25.5" x14ac:dyDescent="0.2">
      <c r="A43" s="97" t="s">
        <v>147</v>
      </c>
      <c r="B43" s="98"/>
      <c r="C43" s="99" t="s">
        <v>148</v>
      </c>
      <c r="D43" s="100"/>
      <c r="E43" s="101" t="s">
        <v>149</v>
      </c>
      <c r="F43" s="100"/>
      <c r="G43" s="102"/>
      <c r="H43" s="102"/>
      <c r="I43" s="102"/>
      <c r="J43" s="102"/>
      <c r="K43" s="102"/>
      <c r="L43" s="103"/>
      <c r="M43" s="103"/>
      <c r="N43" s="103"/>
      <c r="O43" s="104"/>
      <c r="P43" s="104"/>
      <c r="Q43" s="104"/>
      <c r="R43" s="104"/>
      <c r="S43" s="104"/>
      <c r="T43" s="104"/>
      <c r="U43" s="104"/>
      <c r="V43" s="104"/>
    </row>
    <row r="44" spans="1:22" ht="25.5" x14ac:dyDescent="0.2">
      <c r="A44" s="105" t="s">
        <v>150</v>
      </c>
      <c r="B44" s="106"/>
      <c r="C44" s="107" t="s">
        <v>151</v>
      </c>
      <c r="D44" s="37"/>
      <c r="E44" s="108" t="s">
        <v>149</v>
      </c>
      <c r="F44" s="37"/>
      <c r="G44" s="51"/>
      <c r="H44" s="51"/>
      <c r="I44" s="51"/>
      <c r="J44" s="51"/>
      <c r="K44" s="51"/>
      <c r="L44" s="109"/>
      <c r="M44" s="109"/>
      <c r="N44" s="109"/>
      <c r="O44" s="110"/>
      <c r="P44" s="110"/>
      <c r="Q44" s="110"/>
      <c r="R44" s="110"/>
      <c r="S44" s="110"/>
      <c r="T44" s="110"/>
      <c r="U44" s="110"/>
      <c r="V44" s="110"/>
    </row>
    <row r="45" spans="1:22" ht="63.75" customHeight="1" x14ac:dyDescent="0.2">
      <c r="A45" s="105" t="s">
        <v>152</v>
      </c>
      <c r="B45" s="106"/>
      <c r="C45" s="111" t="s">
        <v>153</v>
      </c>
      <c r="D45" s="37"/>
      <c r="E45" s="108" t="s">
        <v>149</v>
      </c>
      <c r="F45" s="37"/>
      <c r="G45" s="51"/>
      <c r="H45" s="51"/>
      <c r="I45" s="51"/>
      <c r="J45" s="51"/>
      <c r="K45" s="51"/>
      <c r="L45" s="109"/>
      <c r="M45" s="109"/>
      <c r="N45" s="109"/>
      <c r="O45" s="112"/>
      <c r="P45" s="112"/>
      <c r="Q45" s="112"/>
      <c r="R45" s="112"/>
      <c r="S45" s="112"/>
      <c r="T45" s="112"/>
      <c r="U45" s="112"/>
      <c r="V45" s="112"/>
    </row>
    <row r="46" spans="1:22" s="123" customFormat="1" ht="84.75" customHeight="1" x14ac:dyDescent="0.2">
      <c r="A46" s="113" t="s">
        <v>154</v>
      </c>
      <c r="B46" s="114"/>
      <c r="C46" s="115" t="s">
        <v>155</v>
      </c>
      <c r="D46" s="116"/>
      <c r="E46" s="117" t="s">
        <v>149</v>
      </c>
      <c r="F46" s="118" t="s">
        <v>156</v>
      </c>
      <c r="G46" s="119"/>
      <c r="H46" s="119"/>
      <c r="I46" s="120">
        <v>1</v>
      </c>
      <c r="J46" s="120">
        <v>1</v>
      </c>
      <c r="K46" s="120">
        <v>0.99990000000000001</v>
      </c>
      <c r="L46" s="121"/>
      <c r="M46" s="121">
        <v>1</v>
      </c>
      <c r="N46" s="121"/>
      <c r="O46" s="122" t="s">
        <v>157</v>
      </c>
      <c r="P46" s="122"/>
      <c r="Q46" s="122"/>
      <c r="R46" s="122"/>
      <c r="S46" s="122" t="s">
        <v>158</v>
      </c>
      <c r="T46" s="122"/>
      <c r="U46" s="122"/>
      <c r="V46" s="122"/>
    </row>
    <row r="47" spans="1:22" s="123" customFormat="1" ht="54" customHeight="1" x14ac:dyDescent="0.2">
      <c r="A47" s="124" t="s">
        <v>159</v>
      </c>
      <c r="B47" s="125"/>
      <c r="C47" s="126" t="s">
        <v>160</v>
      </c>
      <c r="D47" s="127"/>
      <c r="E47" s="128" t="s">
        <v>161</v>
      </c>
      <c r="F47" s="129" t="s">
        <v>156</v>
      </c>
      <c r="G47" s="130">
        <v>100</v>
      </c>
      <c r="H47" s="130">
        <v>99.96</v>
      </c>
      <c r="I47" s="130">
        <v>100</v>
      </c>
      <c r="J47" s="130">
        <v>100</v>
      </c>
      <c r="K47" s="130">
        <v>99</v>
      </c>
      <c r="L47" s="131">
        <v>100</v>
      </c>
      <c r="M47" s="131">
        <v>100</v>
      </c>
      <c r="N47" s="131"/>
      <c r="O47" s="132"/>
      <c r="P47" s="132"/>
      <c r="Q47" s="132"/>
      <c r="R47" s="132"/>
      <c r="S47" s="132"/>
      <c r="T47" s="132"/>
      <c r="U47" s="132"/>
      <c r="V47" s="132"/>
    </row>
  </sheetData>
  <pageMargins left="0.75" right="0.75" top="1" bottom="1"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zoomScaleNormal="100" workbookViewId="0">
      <selection activeCell="D16" sqref="D16:F16"/>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186</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47.25" x14ac:dyDescent="0.25">
      <c r="A10" s="183" t="s">
        <v>4</v>
      </c>
      <c r="B10" s="184" t="s">
        <v>221</v>
      </c>
      <c r="C10" s="235" t="s">
        <v>483</v>
      </c>
      <c r="D10" s="240">
        <v>4.5</v>
      </c>
      <c r="E10" s="240"/>
      <c r="F10" s="240"/>
      <c r="G10" s="187"/>
      <c r="H10" s="188"/>
      <c r="I10" s="189"/>
      <c r="J10" s="1"/>
      <c r="K10" s="2"/>
      <c r="L10" s="190">
        <f t="shared" ref="L10:L15" si="0">SUM(D10:F10)</f>
        <v>4.5</v>
      </c>
      <c r="M10" s="190">
        <f t="shared" ref="M10:M15" si="1">SUM(G10:I10)</f>
        <v>0</v>
      </c>
    </row>
    <row r="11" spans="1:18" ht="47.25" x14ac:dyDescent="0.25">
      <c r="A11" s="191" t="s">
        <v>4</v>
      </c>
      <c r="B11" s="192" t="s">
        <v>223</v>
      </c>
      <c r="C11" s="236" t="s">
        <v>249</v>
      </c>
      <c r="D11" s="240">
        <v>3</v>
      </c>
      <c r="E11" s="240"/>
      <c r="F11" s="240"/>
      <c r="G11" s="195"/>
      <c r="H11" s="195"/>
      <c r="I11" s="195"/>
      <c r="J11" s="1"/>
      <c r="L11" s="190">
        <f t="shared" si="0"/>
        <v>3</v>
      </c>
      <c r="M11" s="190">
        <f t="shared" si="1"/>
        <v>0</v>
      </c>
    </row>
    <row r="12" spans="1:18" ht="47.25" x14ac:dyDescent="0.25">
      <c r="A12" s="191" t="s">
        <v>4</v>
      </c>
      <c r="B12" s="192" t="s">
        <v>225</v>
      </c>
      <c r="C12" s="236" t="s">
        <v>484</v>
      </c>
      <c r="D12" s="240">
        <v>3</v>
      </c>
      <c r="E12" s="240"/>
      <c r="F12" s="240"/>
      <c r="G12" s="197"/>
      <c r="H12" s="197"/>
      <c r="I12" s="197"/>
      <c r="J12" s="198"/>
      <c r="L12" s="190">
        <f t="shared" si="0"/>
        <v>3</v>
      </c>
      <c r="M12" s="190">
        <f t="shared" si="1"/>
        <v>0</v>
      </c>
      <c r="R12" s="190">
        <f>AVERAGE(D16:F16)</f>
        <v>15</v>
      </c>
    </row>
    <row r="13" spans="1:18" ht="31.5" x14ac:dyDescent="0.25">
      <c r="A13" s="191" t="s">
        <v>4</v>
      </c>
      <c r="B13" s="192" t="s">
        <v>227</v>
      </c>
      <c r="C13" s="236" t="s">
        <v>245</v>
      </c>
      <c r="D13" s="240">
        <v>1</v>
      </c>
      <c r="E13" s="240"/>
      <c r="F13" s="240"/>
      <c r="G13" s="197"/>
      <c r="H13" s="199"/>
      <c r="I13" s="200"/>
      <c r="J13" s="201"/>
      <c r="L13" s="190">
        <f t="shared" si="0"/>
        <v>1</v>
      </c>
      <c r="M13" s="190">
        <f t="shared" si="1"/>
        <v>0</v>
      </c>
    </row>
    <row r="14" spans="1:18" ht="15.75" x14ac:dyDescent="0.25">
      <c r="A14" s="191" t="s">
        <v>4</v>
      </c>
      <c r="B14" s="192" t="s">
        <v>229</v>
      </c>
      <c r="C14" s="236" t="s">
        <v>246</v>
      </c>
      <c r="D14" s="240">
        <v>1</v>
      </c>
      <c r="E14" s="240"/>
      <c r="F14" s="240"/>
      <c r="G14" s="197"/>
      <c r="H14" s="197"/>
      <c r="I14" s="197"/>
      <c r="J14" s="201"/>
      <c r="L14" s="190">
        <f t="shared" si="0"/>
        <v>1</v>
      </c>
      <c r="M14" s="190">
        <f t="shared" si="1"/>
        <v>0</v>
      </c>
    </row>
    <row r="15" spans="1:18" ht="15.75" x14ac:dyDescent="0.25">
      <c r="A15" s="191" t="s">
        <v>4</v>
      </c>
      <c r="B15" s="192" t="s">
        <v>231</v>
      </c>
      <c r="C15" s="236" t="s">
        <v>244</v>
      </c>
      <c r="D15" s="240">
        <v>2.5</v>
      </c>
      <c r="E15" s="240"/>
      <c r="F15" s="240"/>
      <c r="G15" s="203"/>
      <c r="H15" s="203"/>
      <c r="I15" s="203"/>
      <c r="J15" s="201"/>
      <c r="L15" s="190">
        <f t="shared" si="0"/>
        <v>2.5</v>
      </c>
      <c r="M15" s="190">
        <f t="shared" si="1"/>
        <v>0</v>
      </c>
    </row>
    <row r="16" spans="1:18" ht="15.75" x14ac:dyDescent="0.25">
      <c r="A16" s="204" t="s">
        <v>0</v>
      </c>
      <c r="B16" s="205"/>
      <c r="C16" s="205"/>
      <c r="D16" s="240">
        <v>15</v>
      </c>
      <c r="E16" s="240"/>
      <c r="F16" s="240"/>
      <c r="G16" s="237">
        <f t="shared" ref="G16:I16" si="2">SUM(G10:G15)</f>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0.45</v>
      </c>
      <c r="E21" s="210">
        <v>0.25</v>
      </c>
      <c r="F21" s="210">
        <v>0.25</v>
      </c>
      <c r="G21" s="187"/>
      <c r="H21" s="188"/>
      <c r="I21" s="189"/>
      <c r="J21" s="1"/>
      <c r="K21" s="2"/>
      <c r="L21" s="190">
        <f>SUM(D21:F21)</f>
        <v>0.95</v>
      </c>
      <c r="M21" s="190">
        <f>SUM(G21:I21)</f>
        <v>0</v>
      </c>
    </row>
    <row r="22" spans="1:14" ht="15.75" x14ac:dyDescent="0.25">
      <c r="A22" s="191" t="s">
        <v>4</v>
      </c>
      <c r="B22" s="192" t="s">
        <v>235</v>
      </c>
      <c r="C22" s="193" t="s">
        <v>239</v>
      </c>
      <c r="D22" s="211"/>
      <c r="E22" s="211"/>
      <c r="F22" s="211"/>
      <c r="G22" s="195"/>
      <c r="H22" s="195"/>
      <c r="I22" s="195"/>
      <c r="J22" s="1"/>
      <c r="L22" s="190">
        <f>SUM(D22:F22)</f>
        <v>0</v>
      </c>
      <c r="M22" s="190">
        <f>SUM(G22:I22)</f>
        <v>0</v>
      </c>
    </row>
    <row r="23" spans="1:14" ht="15.75" x14ac:dyDescent="0.25">
      <c r="A23" s="204" t="s">
        <v>0</v>
      </c>
      <c r="B23" s="205"/>
      <c r="C23" s="206"/>
      <c r="D23" s="207">
        <f t="shared" ref="D23:I23" si="3">SUM(D21:D22)</f>
        <v>0.45</v>
      </c>
      <c r="E23" s="207">
        <f t="shared" si="3"/>
        <v>0.25</v>
      </c>
      <c r="F23" s="207">
        <f t="shared" si="3"/>
        <v>0.25</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t="s">
        <v>247</v>
      </c>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11">
    <mergeCell ref="D8:F8"/>
    <mergeCell ref="G8:I8"/>
    <mergeCell ref="D19:F19"/>
    <mergeCell ref="G19:I19"/>
    <mergeCell ref="D10:F10"/>
    <mergeCell ref="D11:F11"/>
    <mergeCell ref="D12:F12"/>
    <mergeCell ref="D13:F13"/>
    <mergeCell ref="D14:F14"/>
    <mergeCell ref="D15:F15"/>
    <mergeCell ref="D16:F16"/>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61"/>
  <sheetViews>
    <sheetView topLeftCell="A19" zoomScaleNormal="100" workbookViewId="0">
      <selection activeCell="B10" sqref="B10:F10"/>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c r="C9" s="243"/>
      <c r="D9" s="243"/>
      <c r="E9" s="243"/>
      <c r="F9" s="243"/>
      <c r="G9" s="244"/>
      <c r="H9" s="244"/>
      <c r="I9" s="244"/>
      <c r="J9" s="244"/>
      <c r="K9" s="244"/>
      <c r="N9" s="217"/>
    </row>
    <row r="10" spans="1:14" ht="217.5" customHeight="1" x14ac:dyDescent="0.2">
      <c r="A10" s="218" t="s">
        <v>229</v>
      </c>
      <c r="B10" s="245" t="s">
        <v>255</v>
      </c>
      <c r="C10" s="245"/>
      <c r="D10" s="245"/>
      <c r="E10" s="245"/>
      <c r="F10" s="245"/>
      <c r="G10" s="246" t="s">
        <v>256</v>
      </c>
      <c r="H10" s="246"/>
      <c r="I10" s="246"/>
      <c r="J10" s="246"/>
      <c r="K10" s="246"/>
    </row>
    <row r="11" spans="1:14" ht="143.25" customHeight="1" x14ac:dyDescent="0.2">
      <c r="A11" s="218" t="s">
        <v>257</v>
      </c>
      <c r="B11" s="245"/>
      <c r="C11" s="245"/>
      <c r="D11" s="245"/>
      <c r="E11" s="245"/>
      <c r="F11" s="245"/>
      <c r="G11" s="246"/>
      <c r="H11" s="246"/>
      <c r="I11" s="246"/>
      <c r="J11" s="246"/>
      <c r="K11" s="246"/>
    </row>
    <row r="12" spans="1:14" ht="241.5" customHeight="1" x14ac:dyDescent="0.2">
      <c r="A12" s="218" t="s">
        <v>258</v>
      </c>
      <c r="B12" s="245" t="s">
        <v>259</v>
      </c>
      <c r="C12" s="245"/>
      <c r="D12" s="245"/>
      <c r="E12" s="245"/>
      <c r="F12" s="245"/>
      <c r="G12" s="246"/>
      <c r="H12" s="246"/>
      <c r="I12" s="246"/>
      <c r="J12" s="246"/>
      <c r="K12" s="246"/>
    </row>
    <row r="13" spans="1:14" ht="243.75" customHeight="1" x14ac:dyDescent="0.2">
      <c r="A13" s="218" t="s">
        <v>260</v>
      </c>
      <c r="B13" s="245" t="s">
        <v>261</v>
      </c>
      <c r="C13" s="245"/>
      <c r="D13" s="245"/>
      <c r="E13" s="245"/>
      <c r="F13" s="245"/>
      <c r="G13" s="247" t="s">
        <v>262</v>
      </c>
      <c r="H13" s="247"/>
      <c r="I13" s="247"/>
      <c r="J13" s="247"/>
      <c r="K13" s="247"/>
    </row>
    <row r="14" spans="1:14" ht="243.75" customHeight="1" x14ac:dyDescent="0.2">
      <c r="A14" s="218" t="s">
        <v>263</v>
      </c>
      <c r="B14" s="248" t="s">
        <v>264</v>
      </c>
      <c r="C14" s="248"/>
      <c r="D14" s="248"/>
      <c r="E14" s="248"/>
      <c r="F14" s="248"/>
      <c r="G14" s="249" t="s">
        <v>265</v>
      </c>
      <c r="H14" s="249"/>
      <c r="I14" s="249"/>
      <c r="J14" s="249"/>
      <c r="K14" s="249"/>
    </row>
    <row r="15" spans="1:14" ht="129.75" customHeight="1" x14ac:dyDescent="0.2">
      <c r="A15" s="218" t="s">
        <v>266</v>
      </c>
      <c r="B15" s="245" t="s">
        <v>267</v>
      </c>
      <c r="C15" s="245"/>
      <c r="D15" s="245"/>
      <c r="E15" s="245"/>
      <c r="F15" s="245"/>
      <c r="G15" s="247"/>
      <c r="H15" s="247"/>
      <c r="I15" s="247"/>
      <c r="J15" s="247"/>
      <c r="K15" s="247"/>
    </row>
    <row r="16" spans="1:14" ht="134.25" customHeight="1" x14ac:dyDescent="0.2">
      <c r="A16" s="218" t="s">
        <v>268</v>
      </c>
      <c r="B16" s="245" t="s">
        <v>269</v>
      </c>
      <c r="C16" s="245"/>
      <c r="D16" s="245"/>
      <c r="E16" s="245"/>
      <c r="F16" s="245"/>
      <c r="G16" s="247" t="s">
        <v>270</v>
      </c>
      <c r="H16" s="247"/>
      <c r="I16" s="247"/>
      <c r="J16" s="247"/>
      <c r="K16" s="247"/>
    </row>
    <row r="17" spans="1:11" ht="212.25" customHeight="1" x14ac:dyDescent="0.2">
      <c r="A17" s="218" t="s">
        <v>271</v>
      </c>
      <c r="B17" s="245"/>
      <c r="C17" s="245"/>
      <c r="D17" s="245"/>
      <c r="E17" s="245"/>
      <c r="F17" s="245"/>
      <c r="G17" s="247"/>
      <c r="H17" s="247"/>
      <c r="I17" s="247"/>
      <c r="J17" s="247"/>
      <c r="K17" s="247"/>
    </row>
    <row r="18" spans="1:11" ht="158.25" customHeight="1" x14ac:dyDescent="0.2">
      <c r="A18" s="218" t="s">
        <v>272</v>
      </c>
      <c r="B18" s="245" t="s">
        <v>273</v>
      </c>
      <c r="C18" s="245"/>
      <c r="D18" s="245"/>
      <c r="E18" s="245"/>
      <c r="F18" s="245"/>
      <c r="G18" s="247"/>
      <c r="H18" s="247"/>
      <c r="I18" s="247"/>
      <c r="J18" s="247"/>
      <c r="K18" s="247"/>
    </row>
    <row r="19" spans="1:11" ht="146.25" customHeight="1" x14ac:dyDescent="0.2">
      <c r="A19" s="219" t="s">
        <v>274</v>
      </c>
      <c r="B19" s="250" t="s">
        <v>275</v>
      </c>
      <c r="C19" s="250"/>
      <c r="D19" s="250"/>
      <c r="E19" s="250"/>
      <c r="F19" s="250"/>
      <c r="G19" s="251"/>
      <c r="H19" s="251"/>
      <c r="I19" s="251"/>
      <c r="J19" s="251"/>
      <c r="K19" s="251"/>
    </row>
    <row r="20" spans="1:11" ht="146.25" customHeight="1" x14ac:dyDescent="0.2">
      <c r="A20" s="219" t="s">
        <v>276</v>
      </c>
      <c r="B20" s="252"/>
      <c r="C20" s="252"/>
      <c r="D20" s="252"/>
      <c r="E20" s="252"/>
      <c r="F20" s="252"/>
      <c r="G20" s="220"/>
      <c r="H20" s="221"/>
      <c r="I20" s="221"/>
      <c r="J20" s="221"/>
      <c r="K20" s="222"/>
    </row>
    <row r="21" spans="1:11" ht="146.25" customHeight="1" x14ac:dyDescent="0.2">
      <c r="A21" s="219" t="s">
        <v>233</v>
      </c>
      <c r="B21" s="253" t="s">
        <v>277</v>
      </c>
      <c r="C21" s="253"/>
      <c r="D21" s="253"/>
      <c r="E21" s="253"/>
      <c r="F21" s="253"/>
      <c r="G21" s="254" t="s">
        <v>278</v>
      </c>
      <c r="H21" s="254"/>
      <c r="I21" s="254"/>
      <c r="J21" s="254"/>
      <c r="K21" s="254"/>
    </row>
    <row r="22" spans="1:11" ht="180" customHeight="1" x14ac:dyDescent="0.2">
      <c r="A22" s="219" t="s">
        <v>235</v>
      </c>
      <c r="B22" s="250" t="s">
        <v>279</v>
      </c>
      <c r="C22" s="250"/>
      <c r="D22" s="250"/>
      <c r="E22" s="250"/>
      <c r="F22" s="250"/>
      <c r="G22" s="251" t="s">
        <v>280</v>
      </c>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285</v>
      </c>
      <c r="B27" s="257"/>
      <c r="C27" s="257"/>
      <c r="D27" s="257"/>
      <c r="E27" s="257"/>
      <c r="F27" s="258" t="s">
        <v>286</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57" customHeight="1" x14ac:dyDescent="0.2">
      <c r="A32" s="257" t="s">
        <v>288</v>
      </c>
      <c r="B32" s="257"/>
      <c r="C32" s="257"/>
      <c r="D32" s="257"/>
      <c r="E32" s="257"/>
      <c r="F32" s="258" t="s">
        <v>289</v>
      </c>
      <c r="G32" s="258"/>
      <c r="H32" s="258"/>
      <c r="I32" s="258"/>
      <c r="J32" s="258"/>
    </row>
    <row r="33" spans="1:15" ht="156" customHeight="1" x14ac:dyDescent="0.2">
      <c r="A33" s="261" t="s">
        <v>290</v>
      </c>
      <c r="B33" s="261"/>
      <c r="C33" s="261"/>
      <c r="D33" s="261"/>
      <c r="E33" s="261"/>
      <c r="F33" s="262" t="s">
        <v>291</v>
      </c>
      <c r="G33" s="262"/>
      <c r="H33" s="262"/>
      <c r="I33" s="262"/>
      <c r="J33" s="262"/>
    </row>
    <row r="34" spans="1:15" ht="93" customHeight="1" x14ac:dyDescent="0.2">
      <c r="A34" s="263" t="s">
        <v>292</v>
      </c>
      <c r="B34" s="263"/>
      <c r="C34" s="263"/>
      <c r="D34" s="263"/>
      <c r="E34" s="263"/>
      <c r="F34" s="262" t="s">
        <v>293</v>
      </c>
      <c r="G34" s="262"/>
      <c r="H34" s="262"/>
      <c r="I34" s="262"/>
      <c r="J34" s="262"/>
    </row>
    <row r="35" spans="1:15" ht="93" customHeight="1" x14ac:dyDescent="0.2">
      <c r="A35" s="257" t="s">
        <v>294</v>
      </c>
      <c r="B35" s="257"/>
      <c r="C35" s="257"/>
      <c r="D35" s="257"/>
      <c r="E35" s="257"/>
      <c r="F35" s="264" t="s">
        <v>295</v>
      </c>
      <c r="G35" s="264"/>
      <c r="H35" s="264"/>
      <c r="I35" s="264"/>
      <c r="J35" s="264"/>
    </row>
    <row r="36" spans="1:15" ht="93" customHeight="1" x14ac:dyDescent="0.2">
      <c r="A36" s="257" t="s">
        <v>296</v>
      </c>
      <c r="B36" s="257"/>
      <c r="C36" s="257"/>
      <c r="D36" s="257"/>
      <c r="E36" s="257"/>
      <c r="F36" s="264" t="s">
        <v>297</v>
      </c>
      <c r="G36" s="264"/>
      <c r="H36" s="264"/>
      <c r="I36" s="264"/>
      <c r="J36" s="264"/>
    </row>
    <row r="37" spans="1:15" ht="93" customHeight="1" x14ac:dyDescent="0.2">
      <c r="A37" s="257" t="s">
        <v>298</v>
      </c>
      <c r="B37" s="257"/>
      <c r="C37" s="257"/>
      <c r="D37" s="257"/>
      <c r="E37" s="257"/>
      <c r="F37" s="264" t="s">
        <v>299</v>
      </c>
      <c r="G37" s="264"/>
      <c r="H37" s="264"/>
      <c r="I37" s="264"/>
      <c r="J37" s="264"/>
    </row>
    <row r="38" spans="1:15" ht="135" customHeight="1" x14ac:dyDescent="0.2">
      <c r="A38" s="263" t="s">
        <v>300</v>
      </c>
      <c r="B38" s="263"/>
      <c r="C38" s="263"/>
      <c r="D38" s="263"/>
      <c r="E38" s="263"/>
      <c r="F38" s="262" t="s">
        <v>301</v>
      </c>
      <c r="G38" s="262"/>
      <c r="H38" s="262"/>
      <c r="I38" s="262"/>
      <c r="J38" s="262"/>
    </row>
    <row r="39" spans="1:15" ht="166.5" customHeight="1" x14ac:dyDescent="0.2">
      <c r="A39" s="257" t="s">
        <v>302</v>
      </c>
      <c r="B39" s="257"/>
      <c r="C39" s="257"/>
      <c r="D39" s="257"/>
      <c r="E39" s="257"/>
      <c r="F39" s="258" t="s">
        <v>303</v>
      </c>
      <c r="G39" s="258"/>
      <c r="H39" s="258"/>
      <c r="I39" s="258"/>
      <c r="J39" s="258"/>
    </row>
    <row r="41" spans="1:15" x14ac:dyDescent="0.2">
      <c r="A41" s="214" t="s">
        <v>304</v>
      </c>
    </row>
    <row r="42" spans="1:15" x14ac:dyDescent="0.2">
      <c r="A42" s="255" t="s">
        <v>305</v>
      </c>
      <c r="B42" s="255"/>
      <c r="C42" s="255"/>
      <c r="D42" s="255"/>
      <c r="E42" s="255"/>
      <c r="F42" s="265" t="s">
        <v>306</v>
      </c>
      <c r="G42" s="265"/>
      <c r="H42" s="266" t="s">
        <v>307</v>
      </c>
      <c r="I42" s="266"/>
      <c r="J42" s="266"/>
      <c r="K42" s="266"/>
      <c r="L42" s="266"/>
    </row>
    <row r="43" spans="1:15" ht="42.75" customHeight="1" x14ac:dyDescent="0.2">
      <c r="A43" s="267" t="s">
        <v>308</v>
      </c>
      <c r="B43" s="267"/>
      <c r="C43" s="267"/>
      <c r="D43" s="267"/>
      <c r="E43" s="267"/>
      <c r="F43" s="268" t="s">
        <v>309</v>
      </c>
      <c r="G43" s="268"/>
      <c r="H43" s="258" t="s">
        <v>310</v>
      </c>
      <c r="I43" s="258"/>
      <c r="J43" s="258"/>
      <c r="K43" s="258"/>
      <c r="L43" s="258"/>
    </row>
    <row r="44" spans="1:15" ht="42.75" customHeight="1" x14ac:dyDescent="0.2">
      <c r="A44" s="267"/>
      <c r="B44" s="267"/>
      <c r="C44" s="267"/>
      <c r="D44" s="267"/>
      <c r="E44" s="267"/>
      <c r="F44" s="269"/>
      <c r="G44" s="269"/>
      <c r="H44" s="258"/>
      <c r="I44" s="258"/>
      <c r="J44" s="258"/>
      <c r="K44" s="258"/>
      <c r="L44" s="258"/>
    </row>
    <row r="45" spans="1:15" ht="12" customHeight="1" x14ac:dyDescent="0.2">
      <c r="A45" s="223"/>
      <c r="B45" s="224"/>
      <c r="C45" s="224"/>
      <c r="D45" s="224"/>
      <c r="E45" s="225"/>
      <c r="F45" s="226"/>
      <c r="G45" s="227"/>
      <c r="H45" s="228"/>
      <c r="I45" s="229"/>
      <c r="J45" s="229"/>
      <c r="K45" s="229"/>
      <c r="L45" s="230"/>
    </row>
    <row r="46" spans="1:15" ht="24.75" customHeight="1" x14ac:dyDescent="0.2">
      <c r="O46" s="231"/>
    </row>
    <row r="47" spans="1:15" ht="24.75" customHeight="1" x14ac:dyDescent="0.2">
      <c r="A47" s="214" t="s">
        <v>311</v>
      </c>
      <c r="O47" s="231"/>
    </row>
    <row r="48" spans="1:15" ht="24.75" customHeight="1" x14ac:dyDescent="0.2">
      <c r="A48" s="255" t="s">
        <v>305</v>
      </c>
      <c r="B48" s="255"/>
      <c r="C48" s="255"/>
      <c r="D48" s="255"/>
      <c r="E48" s="255"/>
      <c r="F48" s="265" t="s">
        <v>306</v>
      </c>
      <c r="G48" s="265"/>
      <c r="H48" s="266" t="s">
        <v>312</v>
      </c>
      <c r="I48" s="266"/>
      <c r="J48" s="266"/>
      <c r="K48" s="266"/>
      <c r="L48" s="266"/>
      <c r="O48" s="231"/>
    </row>
    <row r="49" spans="1:15" ht="115.5" customHeight="1" x14ac:dyDescent="0.2">
      <c r="A49" s="270" t="s">
        <v>313</v>
      </c>
      <c r="B49" s="270"/>
      <c r="C49" s="270"/>
      <c r="D49" s="270"/>
      <c r="E49" s="270"/>
      <c r="F49" s="271" t="s">
        <v>314</v>
      </c>
      <c r="G49" s="271"/>
      <c r="H49" s="258" t="s">
        <v>315</v>
      </c>
      <c r="I49" s="258"/>
      <c r="J49" s="258"/>
      <c r="K49" s="258"/>
      <c r="L49" s="258"/>
    </row>
    <row r="50" spans="1:15" ht="115.5" customHeight="1" x14ac:dyDescent="0.2">
      <c r="A50" s="272" t="s">
        <v>316</v>
      </c>
      <c r="B50" s="272"/>
      <c r="C50" s="272"/>
      <c r="D50" s="272"/>
      <c r="E50" s="272"/>
      <c r="F50" s="273" t="s">
        <v>317</v>
      </c>
      <c r="G50" s="273"/>
      <c r="H50" s="274"/>
      <c r="I50" s="274"/>
      <c r="J50" s="274"/>
      <c r="K50" s="274"/>
      <c r="L50" s="274"/>
    </row>
    <row r="51" spans="1:15" ht="115.5" customHeight="1" x14ac:dyDescent="0.2">
      <c r="A51" s="267" t="s">
        <v>318</v>
      </c>
      <c r="B51" s="267"/>
      <c r="C51" s="267"/>
      <c r="D51" s="267"/>
      <c r="E51" s="267"/>
      <c r="F51" s="268" t="s">
        <v>319</v>
      </c>
      <c r="G51" s="268"/>
      <c r="H51" s="275"/>
      <c r="I51" s="275"/>
      <c r="J51" s="275"/>
      <c r="K51" s="275"/>
      <c r="L51" s="275"/>
    </row>
    <row r="53" spans="1:15" ht="24.75" customHeight="1" x14ac:dyDescent="0.2">
      <c r="A53" s="214" t="s">
        <v>320</v>
      </c>
      <c r="O53" s="231"/>
    </row>
    <row r="54" spans="1:15" ht="24.75" customHeight="1" x14ac:dyDescent="0.2">
      <c r="A54" s="276" t="s">
        <v>305</v>
      </c>
      <c r="B54" s="276"/>
      <c r="C54" s="276"/>
      <c r="D54" s="276"/>
      <c r="E54" s="276"/>
      <c r="F54" s="277" t="s">
        <v>321</v>
      </c>
      <c r="G54" s="277"/>
      <c r="H54" s="278" t="s">
        <v>322</v>
      </c>
      <c r="I54" s="278"/>
      <c r="J54" s="279" t="s">
        <v>323</v>
      </c>
      <c r="K54" s="279"/>
      <c r="L54" s="279"/>
      <c r="M54" s="279"/>
      <c r="N54" s="279"/>
      <c r="O54" s="231"/>
    </row>
    <row r="55" spans="1:15" ht="66.75" customHeight="1" x14ac:dyDescent="0.2">
      <c r="A55" s="280" t="s">
        <v>324</v>
      </c>
      <c r="B55" s="280"/>
      <c r="C55" s="280"/>
      <c r="D55" s="280"/>
      <c r="E55" s="280"/>
      <c r="F55" s="281" t="s">
        <v>325</v>
      </c>
      <c r="G55" s="281"/>
      <c r="H55" s="282" t="s">
        <v>326</v>
      </c>
      <c r="I55" s="282"/>
      <c r="J55" s="283" t="s">
        <v>327</v>
      </c>
      <c r="K55" s="283"/>
      <c r="L55" s="283"/>
      <c r="M55" s="283"/>
      <c r="N55" s="283"/>
    </row>
    <row r="56" spans="1:15" x14ac:dyDescent="0.2">
      <c r="A56" s="284"/>
      <c r="B56" s="284"/>
      <c r="C56" s="284"/>
      <c r="D56" s="284"/>
      <c r="E56" s="284"/>
      <c r="F56" s="285"/>
      <c r="G56" s="285"/>
      <c r="H56" s="286"/>
      <c r="I56" s="286"/>
      <c r="J56" s="287"/>
      <c r="K56" s="287"/>
      <c r="L56" s="287"/>
      <c r="M56" s="287"/>
      <c r="N56" s="287"/>
    </row>
    <row r="57" spans="1:15" x14ac:dyDescent="0.2">
      <c r="A57" s="214" t="s">
        <v>328</v>
      </c>
    </row>
    <row r="58" spans="1:15" x14ac:dyDescent="0.2">
      <c r="A58" s="255" t="s">
        <v>305</v>
      </c>
      <c r="B58" s="255"/>
      <c r="C58" s="255"/>
      <c r="D58" s="255"/>
      <c r="E58" s="255"/>
      <c r="F58" s="265" t="s">
        <v>306</v>
      </c>
      <c r="G58" s="265"/>
      <c r="H58" s="266" t="s">
        <v>307</v>
      </c>
      <c r="I58" s="266"/>
      <c r="J58" s="266"/>
      <c r="K58" s="266"/>
      <c r="L58" s="266"/>
    </row>
    <row r="59" spans="1:15" ht="13.5" customHeight="1" x14ac:dyDescent="0.2">
      <c r="A59" s="261"/>
      <c r="B59" s="261"/>
      <c r="C59" s="261"/>
      <c r="D59" s="261"/>
      <c r="E59" s="261"/>
      <c r="F59" s="288"/>
      <c r="G59" s="288"/>
      <c r="H59" s="262"/>
      <c r="I59" s="262"/>
      <c r="J59" s="262"/>
      <c r="K59" s="262"/>
      <c r="L59" s="262"/>
    </row>
    <row r="60" spans="1:15" ht="32.25" customHeight="1" x14ac:dyDescent="0.2">
      <c r="A60" s="261"/>
      <c r="B60" s="261"/>
      <c r="C60" s="261"/>
      <c r="D60" s="261"/>
      <c r="E60" s="261"/>
      <c r="F60" s="288"/>
      <c r="G60" s="288"/>
      <c r="H60" s="262"/>
      <c r="I60" s="262"/>
      <c r="J60" s="262"/>
      <c r="K60" s="262"/>
      <c r="L60" s="262"/>
    </row>
    <row r="61" spans="1:15" x14ac:dyDescent="0.2">
      <c r="A61" s="261"/>
      <c r="B61" s="261"/>
      <c r="C61" s="261"/>
      <c r="D61" s="261"/>
      <c r="E61" s="261"/>
      <c r="F61" s="288"/>
      <c r="G61" s="288"/>
      <c r="H61" s="262"/>
      <c r="I61" s="262"/>
      <c r="J61" s="262"/>
      <c r="K61" s="262"/>
      <c r="L61" s="262"/>
    </row>
  </sheetData>
  <mergeCells count="98">
    <mergeCell ref="A60:E60"/>
    <mergeCell ref="F60:G60"/>
    <mergeCell ref="H60:L60"/>
    <mergeCell ref="A61:E61"/>
    <mergeCell ref="F61:G61"/>
    <mergeCell ref="H61:L61"/>
    <mergeCell ref="A58:E58"/>
    <mergeCell ref="F58:G58"/>
    <mergeCell ref="H58:L58"/>
    <mergeCell ref="A59:E59"/>
    <mergeCell ref="F59:G59"/>
    <mergeCell ref="H59:L59"/>
    <mergeCell ref="A55:E55"/>
    <mergeCell ref="F55:G55"/>
    <mergeCell ref="H55:I55"/>
    <mergeCell ref="J55:N55"/>
    <mergeCell ref="A56:E56"/>
    <mergeCell ref="F56:G56"/>
    <mergeCell ref="H56:I56"/>
    <mergeCell ref="J56:N56"/>
    <mergeCell ref="A51:E51"/>
    <mergeCell ref="F51:G51"/>
    <mergeCell ref="H51:L51"/>
    <mergeCell ref="A54:E54"/>
    <mergeCell ref="F54:G54"/>
    <mergeCell ref="H54:I54"/>
    <mergeCell ref="J54:N54"/>
    <mergeCell ref="A49:E49"/>
    <mergeCell ref="F49:G49"/>
    <mergeCell ref="H49:L49"/>
    <mergeCell ref="A50:E50"/>
    <mergeCell ref="F50:G50"/>
    <mergeCell ref="H50:L50"/>
    <mergeCell ref="A44:E44"/>
    <mergeCell ref="F44:G44"/>
    <mergeCell ref="H44:L44"/>
    <mergeCell ref="A48:E48"/>
    <mergeCell ref="F48:G48"/>
    <mergeCell ref="H48:L48"/>
    <mergeCell ref="A42:E42"/>
    <mergeCell ref="F42:G42"/>
    <mergeCell ref="H42:L42"/>
    <mergeCell ref="A43:E43"/>
    <mergeCell ref="F43:G43"/>
    <mergeCell ref="H43:L43"/>
    <mergeCell ref="A37:E37"/>
    <mergeCell ref="F37:J37"/>
    <mergeCell ref="A38:E38"/>
    <mergeCell ref="F38:J38"/>
    <mergeCell ref="A39:E39"/>
    <mergeCell ref="F39:J39"/>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topLeftCell="A7" zoomScaleNormal="100" workbookViewId="0">
      <selection activeCell="G10" sqref="G10:K10"/>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c r="C9" s="243"/>
      <c r="D9" s="243"/>
      <c r="E9" s="243"/>
      <c r="F9" s="243"/>
      <c r="G9" s="244"/>
      <c r="H9" s="244"/>
      <c r="I9" s="244"/>
      <c r="J9" s="244"/>
      <c r="K9" s="244"/>
      <c r="N9" s="217"/>
    </row>
    <row r="10" spans="1:14" ht="217.5" customHeight="1" x14ac:dyDescent="0.2">
      <c r="A10" s="218" t="s">
        <v>229</v>
      </c>
      <c r="B10" s="245" t="s">
        <v>329</v>
      </c>
      <c r="C10" s="245"/>
      <c r="D10" s="245"/>
      <c r="E10" s="245"/>
      <c r="F10" s="245"/>
      <c r="G10" s="246" t="s">
        <v>330</v>
      </c>
      <c r="H10" s="246"/>
      <c r="I10" s="246"/>
      <c r="J10" s="246"/>
      <c r="K10" s="246"/>
    </row>
    <row r="11" spans="1:14" ht="143.25" customHeight="1" x14ac:dyDescent="0.2">
      <c r="A11" s="218" t="s">
        <v>257</v>
      </c>
      <c r="B11" s="245" t="s">
        <v>331</v>
      </c>
      <c r="C11" s="245"/>
      <c r="D11" s="245"/>
      <c r="E11" s="245"/>
      <c r="F11" s="245"/>
      <c r="G11" s="246"/>
      <c r="H11" s="246"/>
      <c r="I11" s="246"/>
      <c r="J11" s="246"/>
      <c r="K11" s="246"/>
    </row>
    <row r="12" spans="1:14" ht="241.5" customHeight="1" x14ac:dyDescent="0.2">
      <c r="A12" s="218" t="s">
        <v>258</v>
      </c>
      <c r="B12" s="245"/>
      <c r="C12" s="245"/>
      <c r="D12" s="245"/>
      <c r="E12" s="245"/>
      <c r="F12" s="245"/>
      <c r="G12" s="246" t="s">
        <v>332</v>
      </c>
      <c r="H12" s="246"/>
      <c r="I12" s="246"/>
      <c r="J12" s="246"/>
      <c r="K12" s="246"/>
    </row>
    <row r="13" spans="1:14" ht="243.75" customHeight="1" x14ac:dyDescent="0.2">
      <c r="A13" s="218" t="s">
        <v>260</v>
      </c>
      <c r="B13" s="245" t="s">
        <v>333</v>
      </c>
      <c r="C13" s="245"/>
      <c r="D13" s="245"/>
      <c r="E13" s="245"/>
      <c r="F13" s="245"/>
      <c r="G13" s="247" t="s">
        <v>334</v>
      </c>
      <c r="H13" s="247"/>
      <c r="I13" s="247"/>
      <c r="J13" s="247"/>
      <c r="K13" s="247"/>
    </row>
    <row r="14" spans="1:14" ht="290.25" customHeight="1" x14ac:dyDescent="0.2">
      <c r="A14" s="218" t="s">
        <v>263</v>
      </c>
      <c r="B14" s="289" t="s">
        <v>335</v>
      </c>
      <c r="C14" s="289"/>
      <c r="D14" s="289"/>
      <c r="E14" s="289"/>
      <c r="F14" s="289"/>
      <c r="G14" s="246" t="s">
        <v>336</v>
      </c>
      <c r="H14" s="246"/>
      <c r="I14" s="246"/>
      <c r="J14" s="246"/>
      <c r="K14" s="246"/>
    </row>
    <row r="15" spans="1:14" ht="129.75" customHeight="1" x14ac:dyDescent="0.2">
      <c r="A15" s="218" t="s">
        <v>266</v>
      </c>
      <c r="B15" s="245" t="s">
        <v>337</v>
      </c>
      <c r="C15" s="245"/>
      <c r="D15" s="245"/>
      <c r="E15" s="245"/>
      <c r="F15" s="245"/>
      <c r="G15" s="247"/>
      <c r="H15" s="247"/>
      <c r="I15" s="247"/>
      <c r="J15" s="247"/>
      <c r="K15" s="247"/>
    </row>
    <row r="16" spans="1:14" ht="134.25" customHeight="1" x14ac:dyDescent="0.2">
      <c r="A16" s="218" t="s">
        <v>268</v>
      </c>
      <c r="B16" s="245" t="s">
        <v>338</v>
      </c>
      <c r="C16" s="245"/>
      <c r="D16" s="245"/>
      <c r="E16" s="245"/>
      <c r="F16" s="245"/>
      <c r="G16" s="247"/>
      <c r="H16" s="247"/>
      <c r="I16" s="247"/>
      <c r="J16" s="247"/>
      <c r="K16" s="247"/>
    </row>
    <row r="17" spans="1:11" ht="212.25" customHeight="1" x14ac:dyDescent="0.2">
      <c r="A17" s="218" t="s">
        <v>271</v>
      </c>
      <c r="B17" s="245"/>
      <c r="C17" s="245"/>
      <c r="D17" s="245"/>
      <c r="E17" s="245"/>
      <c r="F17" s="245"/>
      <c r="G17" s="247"/>
      <c r="H17" s="247"/>
      <c r="I17" s="247"/>
      <c r="J17" s="247"/>
      <c r="K17" s="247"/>
    </row>
    <row r="18" spans="1:11" ht="158.25" customHeight="1" x14ac:dyDescent="0.2">
      <c r="A18" s="218" t="s">
        <v>272</v>
      </c>
      <c r="B18" s="245" t="s">
        <v>339</v>
      </c>
      <c r="C18" s="245"/>
      <c r="D18" s="245"/>
      <c r="E18" s="245"/>
      <c r="F18" s="245"/>
      <c r="G18" s="247" t="s">
        <v>340</v>
      </c>
      <c r="H18" s="247"/>
      <c r="I18" s="247"/>
      <c r="J18" s="247"/>
      <c r="K18" s="247"/>
    </row>
    <row r="19" spans="1:11" ht="146.25" customHeight="1" x14ac:dyDescent="0.2">
      <c r="A19" s="219" t="s">
        <v>274</v>
      </c>
      <c r="B19" s="250" t="s">
        <v>341</v>
      </c>
      <c r="C19" s="250"/>
      <c r="D19" s="250"/>
      <c r="E19" s="250"/>
      <c r="F19" s="250"/>
      <c r="G19" s="251" t="s">
        <v>342</v>
      </c>
      <c r="H19" s="251"/>
      <c r="I19" s="251"/>
      <c r="J19" s="251"/>
      <c r="K19" s="251"/>
    </row>
    <row r="20" spans="1:11" ht="146.25" customHeight="1" x14ac:dyDescent="0.2">
      <c r="A20" s="219" t="s">
        <v>276</v>
      </c>
      <c r="B20" s="252"/>
      <c r="C20" s="252"/>
      <c r="D20" s="252"/>
      <c r="E20" s="252"/>
      <c r="F20" s="252"/>
      <c r="G20" s="220"/>
      <c r="H20" s="221"/>
      <c r="I20" s="221"/>
      <c r="J20" s="221"/>
      <c r="K20" s="222"/>
    </row>
    <row r="21" spans="1:11" ht="146.25" customHeight="1" x14ac:dyDescent="0.2">
      <c r="A21" s="219" t="s">
        <v>233</v>
      </c>
      <c r="B21" s="290" t="s">
        <v>343</v>
      </c>
      <c r="C21" s="290"/>
      <c r="D21" s="290"/>
      <c r="E21" s="290"/>
      <c r="F21" s="290"/>
      <c r="G21" s="254" t="s">
        <v>344</v>
      </c>
      <c r="H21" s="254"/>
      <c r="I21" s="254"/>
      <c r="J21" s="254"/>
      <c r="K21" s="254"/>
    </row>
    <row r="22" spans="1:11" ht="180" customHeight="1" x14ac:dyDescent="0.2">
      <c r="A22" s="219" t="s">
        <v>235</v>
      </c>
      <c r="B22" s="250" t="s">
        <v>345</v>
      </c>
      <c r="C22" s="250"/>
      <c r="D22" s="250"/>
      <c r="E22" s="250"/>
      <c r="F22" s="250"/>
      <c r="G22" s="251" t="s">
        <v>346</v>
      </c>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285</v>
      </c>
      <c r="B27" s="257"/>
      <c r="C27" s="257"/>
      <c r="D27" s="257"/>
      <c r="E27" s="257"/>
      <c r="F27" s="258" t="s">
        <v>286</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57" customHeight="1" x14ac:dyDescent="0.2">
      <c r="A32" s="257" t="s">
        <v>288</v>
      </c>
      <c r="B32" s="257"/>
      <c r="C32" s="257"/>
      <c r="D32" s="257"/>
      <c r="E32" s="257"/>
      <c r="F32" s="258" t="s">
        <v>289</v>
      </c>
      <c r="G32" s="258"/>
      <c r="H32" s="258"/>
      <c r="I32" s="258"/>
      <c r="J32" s="258"/>
    </row>
    <row r="33" spans="1:15" ht="93" customHeight="1" x14ac:dyDescent="0.2">
      <c r="A33" s="263" t="s">
        <v>292</v>
      </c>
      <c r="B33" s="263"/>
      <c r="C33" s="263"/>
      <c r="D33" s="263"/>
      <c r="E33" s="263"/>
      <c r="F33" s="262" t="s">
        <v>293</v>
      </c>
      <c r="G33" s="262"/>
      <c r="H33" s="262"/>
      <c r="I33" s="262"/>
      <c r="J33" s="262"/>
    </row>
    <row r="34" spans="1:15" ht="93" customHeight="1" x14ac:dyDescent="0.2">
      <c r="A34" s="257" t="s">
        <v>294</v>
      </c>
      <c r="B34" s="257"/>
      <c r="C34" s="257"/>
      <c r="D34" s="257"/>
      <c r="E34" s="257"/>
      <c r="F34" s="264" t="s">
        <v>295</v>
      </c>
      <c r="G34" s="264"/>
      <c r="H34" s="264"/>
      <c r="I34" s="264"/>
      <c r="J34" s="264"/>
    </row>
    <row r="35" spans="1:15" ht="93" customHeight="1" x14ac:dyDescent="0.2">
      <c r="A35" s="257" t="s">
        <v>296</v>
      </c>
      <c r="B35" s="257"/>
      <c r="C35" s="257"/>
      <c r="D35" s="257"/>
      <c r="E35" s="257"/>
      <c r="F35" s="264" t="s">
        <v>347</v>
      </c>
      <c r="G35" s="264"/>
      <c r="H35" s="264"/>
      <c r="I35" s="264"/>
      <c r="J35" s="264"/>
    </row>
    <row r="36" spans="1:15" ht="93" customHeight="1" x14ac:dyDescent="0.2">
      <c r="A36" s="257" t="s">
        <v>298</v>
      </c>
      <c r="B36" s="257"/>
      <c r="C36" s="257"/>
      <c r="D36" s="257"/>
      <c r="E36" s="257"/>
      <c r="F36" s="264" t="s">
        <v>299</v>
      </c>
      <c r="G36" s="264"/>
      <c r="H36" s="264"/>
      <c r="I36" s="264"/>
      <c r="J36" s="264"/>
    </row>
    <row r="37" spans="1:15" ht="135" customHeight="1" x14ac:dyDescent="0.2">
      <c r="A37" s="263" t="s">
        <v>300</v>
      </c>
      <c r="B37" s="263"/>
      <c r="C37" s="263"/>
      <c r="D37" s="263"/>
      <c r="E37" s="263"/>
      <c r="F37" s="262" t="s">
        <v>301</v>
      </c>
      <c r="G37" s="262"/>
      <c r="H37" s="262"/>
      <c r="I37" s="262"/>
      <c r="J37" s="262"/>
    </row>
    <row r="39" spans="1:15" x14ac:dyDescent="0.2">
      <c r="A39" s="214" t="s">
        <v>304</v>
      </c>
    </row>
    <row r="40" spans="1:15" x14ac:dyDescent="0.2">
      <c r="A40" s="255" t="s">
        <v>305</v>
      </c>
      <c r="B40" s="255"/>
      <c r="C40" s="255"/>
      <c r="D40" s="255"/>
      <c r="E40" s="255"/>
      <c r="F40" s="265" t="s">
        <v>306</v>
      </c>
      <c r="G40" s="265"/>
      <c r="H40" s="266" t="s">
        <v>307</v>
      </c>
      <c r="I40" s="266"/>
      <c r="J40" s="266"/>
      <c r="K40" s="266"/>
      <c r="L40" s="266"/>
    </row>
    <row r="41" spans="1:15" ht="42.75" customHeight="1" x14ac:dyDescent="0.2">
      <c r="A41" s="267" t="s">
        <v>348</v>
      </c>
      <c r="B41" s="267"/>
      <c r="C41" s="267"/>
      <c r="D41" s="267"/>
      <c r="E41" s="267"/>
      <c r="F41" s="268" t="s">
        <v>349</v>
      </c>
      <c r="G41" s="268"/>
      <c r="H41" s="258" t="s">
        <v>350</v>
      </c>
      <c r="I41" s="258"/>
      <c r="J41" s="258"/>
      <c r="K41" s="258"/>
      <c r="L41" s="258"/>
    </row>
    <row r="42" spans="1:15" ht="57" customHeight="1" x14ac:dyDescent="0.2">
      <c r="A42" s="267" t="s">
        <v>351</v>
      </c>
      <c r="B42" s="267"/>
      <c r="C42" s="267"/>
      <c r="D42" s="267"/>
      <c r="E42" s="267"/>
      <c r="F42" s="268" t="s">
        <v>317</v>
      </c>
      <c r="G42" s="268"/>
      <c r="H42" s="258" t="s">
        <v>352</v>
      </c>
      <c r="I42" s="258"/>
      <c r="J42" s="258"/>
      <c r="K42" s="258"/>
      <c r="L42" s="258"/>
    </row>
    <row r="43" spans="1:15" ht="25.5" customHeight="1" x14ac:dyDescent="0.2">
      <c r="A43" s="257" t="s">
        <v>318</v>
      </c>
      <c r="B43" s="257"/>
      <c r="C43" s="257"/>
      <c r="D43" s="257"/>
      <c r="E43" s="257"/>
      <c r="F43" s="291" t="s">
        <v>319</v>
      </c>
      <c r="G43" s="291"/>
      <c r="H43" s="258" t="s">
        <v>353</v>
      </c>
      <c r="I43" s="258"/>
      <c r="J43" s="258"/>
      <c r="K43" s="258"/>
      <c r="L43" s="258"/>
    </row>
    <row r="44" spans="1:15" ht="24.75" customHeight="1" x14ac:dyDescent="0.2">
      <c r="O44" s="231"/>
    </row>
    <row r="45" spans="1:15" ht="24.75" customHeight="1" x14ac:dyDescent="0.2">
      <c r="A45" s="214" t="s">
        <v>311</v>
      </c>
      <c r="O45" s="231"/>
    </row>
    <row r="46" spans="1:15" ht="24.75" customHeight="1" x14ac:dyDescent="0.2">
      <c r="A46" s="255" t="s">
        <v>305</v>
      </c>
      <c r="B46" s="255"/>
      <c r="C46" s="255"/>
      <c r="D46" s="255"/>
      <c r="E46" s="255"/>
      <c r="F46" s="265" t="s">
        <v>306</v>
      </c>
      <c r="G46" s="265"/>
      <c r="H46" s="266" t="s">
        <v>312</v>
      </c>
      <c r="I46" s="266"/>
      <c r="J46" s="266"/>
      <c r="K46" s="266"/>
      <c r="L46" s="266"/>
      <c r="O46" s="231"/>
    </row>
    <row r="47" spans="1:15" ht="115.5" customHeight="1" x14ac:dyDescent="0.2">
      <c r="A47" s="270" t="s">
        <v>354</v>
      </c>
      <c r="B47" s="270"/>
      <c r="C47" s="270"/>
      <c r="D47" s="270"/>
      <c r="E47" s="270"/>
      <c r="F47" s="271"/>
      <c r="G47" s="271"/>
      <c r="H47" s="258"/>
      <c r="I47" s="258"/>
      <c r="J47" s="258"/>
      <c r="K47" s="258"/>
      <c r="L47" s="258"/>
    </row>
    <row r="48" spans="1:15" ht="115.5" customHeight="1" x14ac:dyDescent="0.2">
      <c r="A48" s="272"/>
      <c r="B48" s="272"/>
      <c r="C48" s="272"/>
      <c r="D48" s="272"/>
      <c r="E48" s="272"/>
      <c r="F48" s="273"/>
      <c r="G48" s="273"/>
      <c r="H48" s="274"/>
      <c r="I48" s="274"/>
      <c r="J48" s="274"/>
      <c r="K48" s="274"/>
      <c r="L48" s="274"/>
    </row>
    <row r="49" spans="1:15" ht="115.5" customHeight="1" x14ac:dyDescent="0.2">
      <c r="A49" s="267"/>
      <c r="B49" s="267"/>
      <c r="C49" s="267"/>
      <c r="D49" s="267"/>
      <c r="E49" s="267"/>
      <c r="F49" s="268"/>
      <c r="G49" s="268"/>
      <c r="H49" s="275"/>
      <c r="I49" s="275"/>
      <c r="J49" s="275"/>
      <c r="K49" s="275"/>
      <c r="L49" s="275"/>
    </row>
    <row r="51" spans="1:15" ht="24.75" customHeight="1" x14ac:dyDescent="0.2">
      <c r="A51" s="214" t="s">
        <v>320</v>
      </c>
      <c r="O51" s="231"/>
    </row>
    <row r="52" spans="1:15" ht="24.75" customHeight="1" x14ac:dyDescent="0.2">
      <c r="A52" s="276" t="s">
        <v>305</v>
      </c>
      <c r="B52" s="276"/>
      <c r="C52" s="276"/>
      <c r="D52" s="276"/>
      <c r="E52" s="276"/>
      <c r="F52" s="277" t="s">
        <v>321</v>
      </c>
      <c r="G52" s="277"/>
      <c r="H52" s="278" t="s">
        <v>322</v>
      </c>
      <c r="I52" s="278"/>
      <c r="J52" s="279" t="s">
        <v>323</v>
      </c>
      <c r="K52" s="279"/>
      <c r="L52" s="279"/>
      <c r="M52" s="279"/>
      <c r="N52" s="279"/>
      <c r="O52" s="231"/>
    </row>
    <row r="53" spans="1:15" ht="66.75" customHeight="1" x14ac:dyDescent="0.2">
      <c r="A53" s="280" t="s">
        <v>318</v>
      </c>
      <c r="B53" s="280"/>
      <c r="C53" s="280"/>
      <c r="D53" s="280"/>
      <c r="E53" s="280"/>
      <c r="F53" s="281" t="s">
        <v>319</v>
      </c>
      <c r="G53" s="281"/>
      <c r="H53" s="282" t="s">
        <v>355</v>
      </c>
      <c r="I53" s="282"/>
      <c r="J53" s="283" t="s">
        <v>356</v>
      </c>
      <c r="K53" s="283"/>
      <c r="L53" s="283"/>
      <c r="M53" s="283"/>
      <c r="N53" s="283"/>
    </row>
    <row r="54" spans="1:15" x14ac:dyDescent="0.2">
      <c r="A54" s="284"/>
      <c r="B54" s="284"/>
      <c r="C54" s="284"/>
      <c r="D54" s="284"/>
      <c r="E54" s="284"/>
      <c r="F54" s="285"/>
      <c r="G54" s="285"/>
      <c r="H54" s="286"/>
      <c r="I54" s="286"/>
      <c r="J54" s="287"/>
      <c r="K54" s="287"/>
      <c r="L54" s="287"/>
      <c r="M54" s="287"/>
      <c r="N54" s="287"/>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97">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3:E43"/>
    <mergeCell ref="F43:G43"/>
    <mergeCell ref="H43:L43"/>
    <mergeCell ref="A46:E46"/>
    <mergeCell ref="F46:G46"/>
    <mergeCell ref="H46:L46"/>
    <mergeCell ref="A41:E41"/>
    <mergeCell ref="F41:G41"/>
    <mergeCell ref="H41:L41"/>
    <mergeCell ref="A42:E42"/>
    <mergeCell ref="F42:G42"/>
    <mergeCell ref="H42:L42"/>
    <mergeCell ref="A37:E37"/>
    <mergeCell ref="F37:J37"/>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topLeftCell="A20" zoomScaleNormal="100" workbookViewId="0">
      <selection activeCell="G10" sqref="G10"/>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t="s">
        <v>357</v>
      </c>
      <c r="C9" s="243"/>
      <c r="D9" s="243"/>
      <c r="E9" s="243"/>
      <c r="F9" s="243"/>
      <c r="G9" s="244"/>
      <c r="H9" s="244"/>
      <c r="I9" s="244"/>
      <c r="J9" s="244"/>
      <c r="K9" s="244"/>
      <c r="N9" s="217"/>
    </row>
    <row r="10" spans="1:14" ht="217.5" customHeight="1" x14ac:dyDescent="0.2">
      <c r="A10" s="218" t="s">
        <v>229</v>
      </c>
      <c r="B10" s="245" t="s">
        <v>329</v>
      </c>
      <c r="C10" s="245"/>
      <c r="D10" s="245"/>
      <c r="E10" s="245"/>
      <c r="F10" s="245"/>
      <c r="G10" s="246" t="s">
        <v>330</v>
      </c>
      <c r="H10" s="246"/>
      <c r="I10" s="246"/>
      <c r="J10" s="246"/>
      <c r="K10" s="246"/>
    </row>
    <row r="11" spans="1:14" ht="143.25" customHeight="1" x14ac:dyDescent="0.2">
      <c r="A11" s="218" t="s">
        <v>257</v>
      </c>
      <c r="B11" s="245"/>
      <c r="C11" s="245"/>
      <c r="D11" s="245"/>
      <c r="E11" s="245"/>
      <c r="F11" s="245"/>
      <c r="G11" s="246"/>
      <c r="H11" s="246"/>
      <c r="I11" s="246"/>
      <c r="J11" s="246"/>
      <c r="K11" s="246"/>
    </row>
    <row r="12" spans="1:14" ht="241.5" customHeight="1" x14ac:dyDescent="0.2">
      <c r="A12" s="218" t="s">
        <v>258</v>
      </c>
      <c r="B12" s="245" t="s">
        <v>358</v>
      </c>
      <c r="C12" s="245"/>
      <c r="D12" s="245"/>
      <c r="E12" s="245"/>
      <c r="F12" s="245"/>
      <c r="G12" s="246" t="s">
        <v>359</v>
      </c>
      <c r="H12" s="246"/>
      <c r="I12" s="246"/>
      <c r="J12" s="246"/>
      <c r="K12" s="246"/>
    </row>
    <row r="13" spans="1:14" ht="351.75" customHeight="1" x14ac:dyDescent="0.2">
      <c r="A13" s="218" t="s">
        <v>260</v>
      </c>
      <c r="B13" s="245" t="s">
        <v>360</v>
      </c>
      <c r="C13" s="245"/>
      <c r="D13" s="245"/>
      <c r="E13" s="245"/>
      <c r="F13" s="245"/>
      <c r="G13" s="247" t="s">
        <v>361</v>
      </c>
      <c r="H13" s="247"/>
      <c r="I13" s="247"/>
      <c r="J13" s="247"/>
      <c r="K13" s="247"/>
    </row>
    <row r="14" spans="1:14" ht="309" customHeight="1" x14ac:dyDescent="0.2">
      <c r="A14" s="218" t="s">
        <v>263</v>
      </c>
      <c r="B14" s="289" t="s">
        <v>362</v>
      </c>
      <c r="C14" s="289"/>
      <c r="D14" s="289"/>
      <c r="E14" s="289"/>
      <c r="F14" s="289"/>
      <c r="G14" s="246" t="s">
        <v>363</v>
      </c>
      <c r="H14" s="246"/>
      <c r="I14" s="246"/>
      <c r="J14" s="246"/>
      <c r="K14" s="246"/>
    </row>
    <row r="15" spans="1:14" ht="129.75" customHeight="1" x14ac:dyDescent="0.2">
      <c r="A15" s="218" t="s">
        <v>266</v>
      </c>
      <c r="B15" s="245"/>
      <c r="C15" s="245"/>
      <c r="D15" s="245"/>
      <c r="E15" s="245"/>
      <c r="F15" s="245"/>
      <c r="G15" s="247" t="s">
        <v>364</v>
      </c>
      <c r="H15" s="247"/>
      <c r="I15" s="247"/>
      <c r="J15" s="247"/>
      <c r="K15" s="247"/>
    </row>
    <row r="16" spans="1:14" ht="159.75" customHeight="1" x14ac:dyDescent="0.2">
      <c r="A16" s="218" t="s">
        <v>268</v>
      </c>
      <c r="B16" s="245" t="s">
        <v>365</v>
      </c>
      <c r="C16" s="245"/>
      <c r="D16" s="245"/>
      <c r="E16" s="245"/>
      <c r="F16" s="245"/>
      <c r="G16" s="247" t="s">
        <v>366</v>
      </c>
      <c r="H16" s="247"/>
      <c r="I16" s="247"/>
      <c r="J16" s="247"/>
      <c r="K16" s="247"/>
    </row>
    <row r="17" spans="1:11" ht="212.25" customHeight="1" x14ac:dyDescent="0.2">
      <c r="A17" s="218" t="s">
        <v>271</v>
      </c>
      <c r="B17" s="245"/>
      <c r="C17" s="245"/>
      <c r="D17" s="245"/>
      <c r="E17" s="245"/>
      <c r="F17" s="245"/>
      <c r="G17" s="247"/>
      <c r="H17" s="247"/>
      <c r="I17" s="247"/>
      <c r="J17" s="247"/>
      <c r="K17" s="247"/>
    </row>
    <row r="18" spans="1:11" ht="363.75" customHeight="1" x14ac:dyDescent="0.2">
      <c r="A18" s="218" t="s">
        <v>272</v>
      </c>
      <c r="B18" s="245" t="s">
        <v>367</v>
      </c>
      <c r="C18" s="245"/>
      <c r="D18" s="245"/>
      <c r="E18" s="245"/>
      <c r="F18" s="245"/>
      <c r="G18" s="247" t="s">
        <v>368</v>
      </c>
      <c r="H18" s="247"/>
      <c r="I18" s="247"/>
      <c r="J18" s="247"/>
      <c r="K18" s="247"/>
    </row>
    <row r="19" spans="1:11" ht="146.25" customHeight="1" x14ac:dyDescent="0.2">
      <c r="A19" s="219" t="s">
        <v>274</v>
      </c>
      <c r="B19" s="250" t="s">
        <v>369</v>
      </c>
      <c r="C19" s="250"/>
      <c r="D19" s="250"/>
      <c r="E19" s="250"/>
      <c r="F19" s="250"/>
      <c r="G19" s="251"/>
      <c r="H19" s="251"/>
      <c r="I19" s="251"/>
      <c r="J19" s="251"/>
      <c r="K19" s="251"/>
    </row>
    <row r="20" spans="1:11" ht="146.25" customHeight="1" x14ac:dyDescent="0.2">
      <c r="A20" s="219" t="s">
        <v>276</v>
      </c>
      <c r="B20" s="252"/>
      <c r="C20" s="252"/>
      <c r="D20" s="252"/>
      <c r="E20" s="252"/>
      <c r="F20" s="252"/>
      <c r="G20" s="220"/>
      <c r="H20" s="221"/>
      <c r="I20" s="221"/>
      <c r="J20" s="221"/>
      <c r="K20" s="222"/>
    </row>
    <row r="21" spans="1:11" ht="146.25" customHeight="1" x14ac:dyDescent="0.2">
      <c r="A21" s="219" t="s">
        <v>233</v>
      </c>
      <c r="B21" s="290" t="s">
        <v>370</v>
      </c>
      <c r="C21" s="290"/>
      <c r="D21" s="290"/>
      <c r="E21" s="290"/>
      <c r="F21" s="290"/>
      <c r="G21" s="254" t="s">
        <v>371</v>
      </c>
      <c r="H21" s="254"/>
      <c r="I21" s="254"/>
      <c r="J21" s="254"/>
      <c r="K21" s="254"/>
    </row>
    <row r="22" spans="1:11" ht="180" customHeight="1" x14ac:dyDescent="0.2">
      <c r="A22" s="219" t="s">
        <v>235</v>
      </c>
      <c r="B22" s="250" t="s">
        <v>372</v>
      </c>
      <c r="C22" s="250"/>
      <c r="D22" s="250"/>
      <c r="E22" s="250"/>
      <c r="F22" s="250"/>
      <c r="G22" s="251" t="s">
        <v>373</v>
      </c>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285</v>
      </c>
      <c r="B27" s="257"/>
      <c r="C27" s="257"/>
      <c r="D27" s="257"/>
      <c r="E27" s="257"/>
      <c r="F27" s="258" t="s">
        <v>286</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57" customHeight="1" x14ac:dyDescent="0.2">
      <c r="A32" s="257" t="s">
        <v>288</v>
      </c>
      <c r="B32" s="257"/>
      <c r="C32" s="257"/>
      <c r="D32" s="257"/>
      <c r="E32" s="257"/>
      <c r="F32" s="258" t="s">
        <v>289</v>
      </c>
      <c r="G32" s="258"/>
      <c r="H32" s="258"/>
      <c r="I32" s="258"/>
      <c r="J32" s="258"/>
    </row>
    <row r="33" spans="1:15" ht="93" customHeight="1" x14ac:dyDescent="0.2">
      <c r="A33" s="263" t="s">
        <v>292</v>
      </c>
      <c r="B33" s="263"/>
      <c r="C33" s="263"/>
      <c r="D33" s="263"/>
      <c r="E33" s="263"/>
      <c r="F33" s="262" t="s">
        <v>293</v>
      </c>
      <c r="G33" s="262"/>
      <c r="H33" s="262"/>
      <c r="I33" s="262"/>
      <c r="J33" s="262"/>
    </row>
    <row r="34" spans="1:15" ht="93" customHeight="1" x14ac:dyDescent="0.2">
      <c r="A34" s="257" t="s">
        <v>294</v>
      </c>
      <c r="B34" s="257"/>
      <c r="C34" s="257"/>
      <c r="D34" s="257"/>
      <c r="E34" s="257"/>
      <c r="F34" s="264" t="s">
        <v>295</v>
      </c>
      <c r="G34" s="264"/>
      <c r="H34" s="264"/>
      <c r="I34" s="264"/>
      <c r="J34" s="264"/>
    </row>
    <row r="35" spans="1:15" ht="93" customHeight="1" x14ac:dyDescent="0.2">
      <c r="A35" s="257" t="s">
        <v>296</v>
      </c>
      <c r="B35" s="257"/>
      <c r="C35" s="257"/>
      <c r="D35" s="257"/>
      <c r="E35" s="257"/>
      <c r="F35" s="264" t="s">
        <v>374</v>
      </c>
      <c r="G35" s="264"/>
      <c r="H35" s="264"/>
      <c r="I35" s="264"/>
      <c r="J35" s="264"/>
    </row>
    <row r="36" spans="1:15" ht="93" customHeight="1" x14ac:dyDescent="0.2">
      <c r="A36" s="257" t="s">
        <v>298</v>
      </c>
      <c r="B36" s="257"/>
      <c r="C36" s="257"/>
      <c r="D36" s="257"/>
      <c r="E36" s="257"/>
      <c r="F36" s="264" t="s">
        <v>299</v>
      </c>
      <c r="G36" s="264"/>
      <c r="H36" s="264"/>
      <c r="I36" s="264"/>
      <c r="J36" s="264"/>
    </row>
    <row r="37" spans="1:15" ht="135" customHeight="1" x14ac:dyDescent="0.2">
      <c r="A37" s="263" t="s">
        <v>300</v>
      </c>
      <c r="B37" s="263"/>
      <c r="C37" s="263"/>
      <c r="D37" s="263"/>
      <c r="E37" s="263"/>
      <c r="F37" s="262" t="s">
        <v>301</v>
      </c>
      <c r="G37" s="262"/>
      <c r="H37" s="262"/>
      <c r="I37" s="262"/>
      <c r="J37" s="262"/>
    </row>
    <row r="39" spans="1:15" x14ac:dyDescent="0.2">
      <c r="A39" s="214" t="s">
        <v>304</v>
      </c>
    </row>
    <row r="40" spans="1:15" x14ac:dyDescent="0.2">
      <c r="A40" s="255" t="s">
        <v>305</v>
      </c>
      <c r="B40" s="255"/>
      <c r="C40" s="255"/>
      <c r="D40" s="255"/>
      <c r="E40" s="255"/>
      <c r="F40" s="265" t="s">
        <v>306</v>
      </c>
      <c r="G40" s="265"/>
      <c r="H40" s="266" t="s">
        <v>307</v>
      </c>
      <c r="I40" s="266"/>
      <c r="J40" s="266"/>
      <c r="K40" s="266"/>
      <c r="L40" s="266"/>
    </row>
    <row r="41" spans="1:15" ht="42.75" customHeight="1" x14ac:dyDescent="0.2">
      <c r="A41" s="267" t="s">
        <v>348</v>
      </c>
      <c r="B41" s="267"/>
      <c r="C41" s="267"/>
      <c r="D41" s="267"/>
      <c r="E41" s="267"/>
      <c r="F41" s="268" t="s">
        <v>349</v>
      </c>
      <c r="G41" s="268"/>
      <c r="H41" s="258" t="s">
        <v>375</v>
      </c>
      <c r="I41" s="258"/>
      <c r="J41" s="258"/>
      <c r="K41" s="258"/>
      <c r="L41" s="258"/>
    </row>
    <row r="42" spans="1:15" ht="57" customHeight="1" x14ac:dyDescent="0.2">
      <c r="A42" s="267"/>
      <c r="B42" s="267"/>
      <c r="C42" s="267"/>
      <c r="D42" s="267"/>
      <c r="E42" s="267"/>
      <c r="F42" s="268"/>
      <c r="G42" s="268"/>
      <c r="H42" s="258"/>
      <c r="I42" s="258"/>
      <c r="J42" s="258"/>
      <c r="K42" s="258"/>
      <c r="L42" s="258"/>
    </row>
    <row r="43" spans="1:15" ht="25.5" customHeight="1" x14ac:dyDescent="0.2">
      <c r="A43" s="257"/>
      <c r="B43" s="257"/>
      <c r="C43" s="257"/>
      <c r="D43" s="257"/>
      <c r="E43" s="257"/>
      <c r="F43" s="291"/>
      <c r="G43" s="291"/>
      <c r="H43" s="258"/>
      <c r="I43" s="258"/>
      <c r="J43" s="258"/>
      <c r="K43" s="258"/>
      <c r="L43" s="258"/>
    </row>
    <row r="44" spans="1:15" ht="24.75" customHeight="1" x14ac:dyDescent="0.2">
      <c r="O44" s="231"/>
    </row>
    <row r="45" spans="1:15" ht="24.75" customHeight="1" x14ac:dyDescent="0.2">
      <c r="A45" s="214" t="s">
        <v>311</v>
      </c>
      <c r="O45" s="231"/>
    </row>
    <row r="46" spans="1:15" ht="24.75" customHeight="1" x14ac:dyDescent="0.2">
      <c r="A46" s="255" t="s">
        <v>305</v>
      </c>
      <c r="B46" s="255"/>
      <c r="C46" s="255"/>
      <c r="D46" s="255"/>
      <c r="E46" s="255"/>
      <c r="F46" s="265" t="s">
        <v>306</v>
      </c>
      <c r="G46" s="265"/>
      <c r="H46" s="266" t="s">
        <v>312</v>
      </c>
      <c r="I46" s="266"/>
      <c r="J46" s="266"/>
      <c r="K46" s="266"/>
      <c r="L46" s="266"/>
      <c r="O46" s="231"/>
    </row>
    <row r="47" spans="1:15" ht="115.5" customHeight="1" x14ac:dyDescent="0.2">
      <c r="A47" s="270" t="s">
        <v>376</v>
      </c>
      <c r="B47" s="270"/>
      <c r="C47" s="270"/>
      <c r="D47" s="270"/>
      <c r="E47" s="270"/>
      <c r="F47" s="271" t="s">
        <v>377</v>
      </c>
      <c r="G47" s="271"/>
      <c r="H47" s="258" t="s">
        <v>378</v>
      </c>
      <c r="I47" s="258"/>
      <c r="J47" s="258"/>
      <c r="K47" s="258"/>
      <c r="L47" s="258"/>
    </row>
    <row r="48" spans="1:15" ht="115.5" customHeight="1" x14ac:dyDescent="0.2">
      <c r="A48" s="272"/>
      <c r="B48" s="272"/>
      <c r="C48" s="272"/>
      <c r="D48" s="272"/>
      <c r="E48" s="272"/>
      <c r="F48" s="273"/>
      <c r="G48" s="273"/>
      <c r="H48" s="274"/>
      <c r="I48" s="274"/>
      <c r="J48" s="274"/>
      <c r="K48" s="274"/>
      <c r="L48" s="274"/>
    </row>
    <row r="49" spans="1:15" ht="115.5" customHeight="1" x14ac:dyDescent="0.2">
      <c r="A49" s="267"/>
      <c r="B49" s="267"/>
      <c r="C49" s="267"/>
      <c r="D49" s="267"/>
      <c r="E49" s="267"/>
      <c r="F49" s="268"/>
      <c r="G49" s="268"/>
      <c r="H49" s="275"/>
      <c r="I49" s="275"/>
      <c r="J49" s="275"/>
      <c r="K49" s="275"/>
      <c r="L49" s="275"/>
    </row>
    <row r="51" spans="1:15" ht="24.75" customHeight="1" x14ac:dyDescent="0.2">
      <c r="A51" s="214" t="s">
        <v>320</v>
      </c>
      <c r="O51" s="231"/>
    </row>
    <row r="52" spans="1:15" ht="24.75" customHeight="1" x14ac:dyDescent="0.2">
      <c r="A52" s="276" t="s">
        <v>305</v>
      </c>
      <c r="B52" s="276"/>
      <c r="C52" s="276"/>
      <c r="D52" s="276"/>
      <c r="E52" s="276"/>
      <c r="F52" s="277" t="s">
        <v>321</v>
      </c>
      <c r="G52" s="277"/>
      <c r="H52" s="278" t="s">
        <v>322</v>
      </c>
      <c r="I52" s="278"/>
      <c r="J52" s="279" t="s">
        <v>323</v>
      </c>
      <c r="K52" s="279"/>
      <c r="L52" s="279"/>
      <c r="M52" s="279"/>
      <c r="N52" s="279"/>
      <c r="O52" s="231"/>
    </row>
    <row r="53" spans="1:15" ht="66.75" customHeight="1" x14ac:dyDescent="0.2">
      <c r="A53" s="280" t="s">
        <v>318</v>
      </c>
      <c r="B53" s="280"/>
      <c r="C53" s="280"/>
      <c r="D53" s="280"/>
      <c r="E53" s="280"/>
      <c r="F53" s="281" t="s">
        <v>319</v>
      </c>
      <c r="G53" s="281"/>
      <c r="H53" s="282" t="s">
        <v>355</v>
      </c>
      <c r="I53" s="282"/>
      <c r="J53" s="283" t="s">
        <v>356</v>
      </c>
      <c r="K53" s="283"/>
      <c r="L53" s="283"/>
      <c r="M53" s="283"/>
      <c r="N53" s="283"/>
    </row>
    <row r="54" spans="1:15" x14ac:dyDescent="0.2">
      <c r="A54" s="284"/>
      <c r="B54" s="284"/>
      <c r="C54" s="284"/>
      <c r="D54" s="284"/>
      <c r="E54" s="284"/>
      <c r="F54" s="285"/>
      <c r="G54" s="285"/>
      <c r="H54" s="286"/>
      <c r="I54" s="286"/>
      <c r="J54" s="287"/>
      <c r="K54" s="287"/>
      <c r="L54" s="287"/>
      <c r="M54" s="287"/>
      <c r="N54" s="287"/>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97">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3:E43"/>
    <mergeCell ref="F43:G43"/>
    <mergeCell ref="H43:L43"/>
    <mergeCell ref="A46:E46"/>
    <mergeCell ref="F46:G46"/>
    <mergeCell ref="H46:L46"/>
    <mergeCell ref="A41:E41"/>
    <mergeCell ref="F41:G41"/>
    <mergeCell ref="H41:L41"/>
    <mergeCell ref="A42:E42"/>
    <mergeCell ref="F42:G42"/>
    <mergeCell ref="H42:L42"/>
    <mergeCell ref="A37:E37"/>
    <mergeCell ref="F37:J37"/>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topLeftCell="A43" zoomScaleNormal="100" workbookViewId="0">
      <selection activeCell="G19" sqref="G19"/>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c r="C9" s="243"/>
      <c r="D9" s="243"/>
      <c r="E9" s="243"/>
      <c r="F9" s="243"/>
      <c r="G9" s="244"/>
      <c r="H9" s="244"/>
      <c r="I9" s="244"/>
      <c r="J9" s="244"/>
      <c r="K9" s="244"/>
      <c r="N9" s="217"/>
    </row>
    <row r="10" spans="1:14" ht="217.5" customHeight="1" x14ac:dyDescent="0.2">
      <c r="A10" s="218" t="s">
        <v>229</v>
      </c>
      <c r="B10" s="245" t="s">
        <v>379</v>
      </c>
      <c r="C10" s="245"/>
      <c r="D10" s="245"/>
      <c r="E10" s="245"/>
      <c r="F10" s="245"/>
      <c r="G10" s="246" t="s">
        <v>380</v>
      </c>
      <c r="H10" s="246"/>
      <c r="I10" s="246"/>
      <c r="J10" s="246"/>
      <c r="K10" s="246"/>
    </row>
    <row r="11" spans="1:14" ht="143.25" customHeight="1" x14ac:dyDescent="0.2">
      <c r="A11" s="218" t="s">
        <v>257</v>
      </c>
      <c r="B11" s="245" t="s">
        <v>381</v>
      </c>
      <c r="C11" s="245"/>
      <c r="D11" s="245"/>
      <c r="E11" s="245"/>
      <c r="F11" s="245"/>
      <c r="G11" s="246"/>
      <c r="H11" s="246"/>
      <c r="I11" s="246"/>
      <c r="J11" s="246"/>
      <c r="K11" s="246"/>
    </row>
    <row r="12" spans="1:14" ht="241.5" customHeight="1" x14ac:dyDescent="0.2">
      <c r="A12" s="218" t="s">
        <v>258</v>
      </c>
      <c r="B12" s="245"/>
      <c r="C12" s="245"/>
      <c r="D12" s="245"/>
      <c r="E12" s="245"/>
      <c r="F12" s="245"/>
      <c r="G12" s="246" t="s">
        <v>382</v>
      </c>
      <c r="H12" s="246"/>
      <c r="I12" s="246"/>
      <c r="J12" s="246"/>
      <c r="K12" s="246"/>
    </row>
    <row r="13" spans="1:14" ht="351.75" customHeight="1" x14ac:dyDescent="0.2">
      <c r="A13" s="218" t="s">
        <v>260</v>
      </c>
      <c r="B13" s="245" t="s">
        <v>383</v>
      </c>
      <c r="C13" s="245"/>
      <c r="D13" s="245"/>
      <c r="E13" s="245"/>
      <c r="F13" s="245"/>
      <c r="G13" s="247" t="s">
        <v>384</v>
      </c>
      <c r="H13" s="247"/>
      <c r="I13" s="247"/>
      <c r="J13" s="247"/>
      <c r="K13" s="247"/>
    </row>
    <row r="14" spans="1:14" ht="309" customHeight="1" x14ac:dyDescent="0.2">
      <c r="A14" s="218" t="s">
        <v>263</v>
      </c>
      <c r="B14" s="289" t="s">
        <v>385</v>
      </c>
      <c r="C14" s="289"/>
      <c r="D14" s="289"/>
      <c r="E14" s="289"/>
      <c r="F14" s="289"/>
      <c r="G14" s="246" t="s">
        <v>386</v>
      </c>
      <c r="H14" s="246"/>
      <c r="I14" s="246"/>
      <c r="J14" s="246"/>
      <c r="K14" s="246"/>
    </row>
    <row r="15" spans="1:14" ht="129.75" customHeight="1" x14ac:dyDescent="0.2">
      <c r="A15" s="218" t="s">
        <v>266</v>
      </c>
      <c r="B15" s="245" t="s">
        <v>387</v>
      </c>
      <c r="C15" s="245"/>
      <c r="D15" s="245"/>
      <c r="E15" s="245"/>
      <c r="F15" s="245"/>
      <c r="G15" s="247" t="s">
        <v>388</v>
      </c>
      <c r="H15" s="247"/>
      <c r="I15" s="247"/>
      <c r="J15" s="247"/>
      <c r="K15" s="247"/>
    </row>
    <row r="16" spans="1:14" ht="159.75" customHeight="1" x14ac:dyDescent="0.2">
      <c r="A16" s="218" t="s">
        <v>268</v>
      </c>
      <c r="B16" s="245" t="s">
        <v>389</v>
      </c>
      <c r="C16" s="245"/>
      <c r="D16" s="245"/>
      <c r="E16" s="245"/>
      <c r="F16" s="245"/>
      <c r="G16" s="247" t="s">
        <v>390</v>
      </c>
      <c r="H16" s="247"/>
      <c r="I16" s="247"/>
      <c r="J16" s="247"/>
      <c r="K16" s="247"/>
    </row>
    <row r="17" spans="1:11" ht="212.25" customHeight="1" x14ac:dyDescent="0.2">
      <c r="A17" s="218" t="s">
        <v>271</v>
      </c>
      <c r="B17" s="245" t="s">
        <v>391</v>
      </c>
      <c r="C17" s="245"/>
      <c r="D17" s="245"/>
      <c r="E17" s="245"/>
      <c r="F17" s="245"/>
      <c r="G17" s="247"/>
      <c r="H17" s="247"/>
      <c r="I17" s="247"/>
      <c r="J17" s="247"/>
      <c r="K17" s="247"/>
    </row>
    <row r="18" spans="1:11" ht="363.75" customHeight="1" x14ac:dyDescent="0.2">
      <c r="A18" s="218" t="s">
        <v>272</v>
      </c>
      <c r="B18" s="245" t="s">
        <v>392</v>
      </c>
      <c r="C18" s="245"/>
      <c r="D18" s="245"/>
      <c r="E18" s="245"/>
      <c r="F18" s="245"/>
      <c r="G18" s="247" t="s">
        <v>393</v>
      </c>
      <c r="H18" s="247"/>
      <c r="I18" s="247"/>
      <c r="J18" s="247"/>
      <c r="K18" s="247"/>
    </row>
    <row r="19" spans="1:11" ht="248.25" customHeight="1" x14ac:dyDescent="0.2">
      <c r="A19" s="219" t="s">
        <v>274</v>
      </c>
      <c r="B19" s="250"/>
      <c r="C19" s="250"/>
      <c r="D19" s="250"/>
      <c r="E19" s="250"/>
      <c r="F19" s="250"/>
      <c r="G19" s="251" t="s">
        <v>394</v>
      </c>
      <c r="H19" s="251"/>
      <c r="I19" s="251"/>
      <c r="J19" s="251"/>
      <c r="K19" s="251"/>
    </row>
    <row r="20" spans="1:11" ht="146.25" customHeight="1" x14ac:dyDescent="0.2">
      <c r="A20" s="219" t="s">
        <v>276</v>
      </c>
      <c r="B20" s="252"/>
      <c r="C20" s="252"/>
      <c r="D20" s="252"/>
      <c r="E20" s="252"/>
      <c r="F20" s="252"/>
      <c r="G20" s="292" t="s">
        <v>395</v>
      </c>
      <c r="H20" s="292"/>
      <c r="I20" s="292"/>
      <c r="J20" s="292"/>
      <c r="K20" s="292"/>
    </row>
    <row r="21" spans="1:11" ht="146.25" customHeight="1" x14ac:dyDescent="0.2">
      <c r="A21" s="219" t="s">
        <v>233</v>
      </c>
      <c r="B21" s="290" t="s">
        <v>396</v>
      </c>
      <c r="C21" s="290"/>
      <c r="D21" s="290"/>
      <c r="E21" s="290"/>
      <c r="F21" s="290"/>
      <c r="G21" s="254" t="s">
        <v>397</v>
      </c>
      <c r="H21" s="254"/>
      <c r="I21" s="254"/>
      <c r="J21" s="254"/>
      <c r="K21" s="254"/>
    </row>
    <row r="22" spans="1:11" ht="180" customHeight="1" x14ac:dyDescent="0.2">
      <c r="A22" s="219" t="s">
        <v>235</v>
      </c>
      <c r="B22" s="250" t="s">
        <v>398</v>
      </c>
      <c r="C22" s="250"/>
      <c r="D22" s="250"/>
      <c r="E22" s="250"/>
      <c r="F22" s="250"/>
      <c r="G22" s="251"/>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399</v>
      </c>
      <c r="B27" s="257"/>
      <c r="C27" s="257"/>
      <c r="D27" s="257"/>
      <c r="E27" s="257"/>
      <c r="F27" s="258" t="s">
        <v>400</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93" customHeight="1" x14ac:dyDescent="0.2">
      <c r="A32" s="263" t="s">
        <v>401</v>
      </c>
      <c r="B32" s="263"/>
      <c r="C32" s="263"/>
      <c r="D32" s="263"/>
      <c r="E32" s="263"/>
      <c r="F32" s="262" t="s">
        <v>402</v>
      </c>
      <c r="G32" s="262"/>
      <c r="H32" s="262"/>
      <c r="I32" s="262"/>
      <c r="J32" s="262"/>
    </row>
    <row r="33" spans="1:15" ht="93" customHeight="1" x14ac:dyDescent="0.2">
      <c r="A33" s="257" t="s">
        <v>294</v>
      </c>
      <c r="B33" s="257"/>
      <c r="C33" s="257"/>
      <c r="D33" s="257"/>
      <c r="E33" s="257"/>
      <c r="F33" s="264" t="s">
        <v>295</v>
      </c>
      <c r="G33" s="264"/>
      <c r="H33" s="264"/>
      <c r="I33" s="264"/>
      <c r="J33" s="264"/>
    </row>
    <row r="34" spans="1:15" ht="93" customHeight="1" x14ac:dyDescent="0.2">
      <c r="A34" s="257" t="s">
        <v>296</v>
      </c>
      <c r="B34" s="257"/>
      <c r="C34" s="257"/>
      <c r="D34" s="257"/>
      <c r="E34" s="257"/>
      <c r="F34" s="264" t="s">
        <v>403</v>
      </c>
      <c r="G34" s="264"/>
      <c r="H34" s="264"/>
      <c r="I34" s="264"/>
      <c r="J34" s="264"/>
    </row>
    <row r="35" spans="1:15" ht="93" customHeight="1" x14ac:dyDescent="0.2">
      <c r="A35" s="257" t="s">
        <v>298</v>
      </c>
      <c r="B35" s="257"/>
      <c r="C35" s="257"/>
      <c r="D35" s="257"/>
      <c r="E35" s="257"/>
      <c r="F35" s="264" t="s">
        <v>404</v>
      </c>
      <c r="G35" s="264"/>
      <c r="H35" s="264"/>
      <c r="I35" s="264"/>
      <c r="J35" s="264"/>
    </row>
    <row r="36" spans="1:15" ht="93" customHeight="1" x14ac:dyDescent="0.2">
      <c r="A36" s="257" t="s">
        <v>405</v>
      </c>
      <c r="B36" s="257"/>
      <c r="C36" s="257"/>
      <c r="D36" s="257"/>
      <c r="E36" s="257"/>
      <c r="F36" s="264" t="s">
        <v>406</v>
      </c>
      <c r="G36" s="264"/>
      <c r="H36" s="264"/>
      <c r="I36" s="264"/>
      <c r="J36" s="264"/>
    </row>
    <row r="37" spans="1:15" ht="135" customHeight="1" x14ac:dyDescent="0.2">
      <c r="A37" s="263" t="s">
        <v>407</v>
      </c>
      <c r="B37" s="263"/>
      <c r="C37" s="263"/>
      <c r="D37" s="263"/>
      <c r="E37" s="263"/>
      <c r="F37" s="262" t="s">
        <v>408</v>
      </c>
      <c r="G37" s="262"/>
      <c r="H37" s="262"/>
      <c r="I37" s="262"/>
      <c r="J37" s="262"/>
    </row>
    <row r="39" spans="1:15" x14ac:dyDescent="0.2">
      <c r="A39" s="214" t="s">
        <v>304</v>
      </c>
    </row>
    <row r="40" spans="1:15" x14ac:dyDescent="0.2">
      <c r="A40" s="255" t="s">
        <v>305</v>
      </c>
      <c r="B40" s="255"/>
      <c r="C40" s="255"/>
      <c r="D40" s="255"/>
      <c r="E40" s="255"/>
      <c r="F40" s="265" t="s">
        <v>306</v>
      </c>
      <c r="G40" s="265"/>
      <c r="H40" s="266" t="s">
        <v>307</v>
      </c>
      <c r="I40" s="266"/>
      <c r="J40" s="266"/>
      <c r="K40" s="266"/>
      <c r="L40" s="266"/>
    </row>
    <row r="41" spans="1:15" ht="42.75" customHeight="1" x14ac:dyDescent="0.2">
      <c r="A41" s="267" t="s">
        <v>376</v>
      </c>
      <c r="B41" s="267"/>
      <c r="C41" s="267"/>
      <c r="D41" s="267"/>
      <c r="E41" s="267"/>
      <c r="F41" s="271" t="s">
        <v>377</v>
      </c>
      <c r="G41" s="271"/>
      <c r="H41" s="258" t="s">
        <v>192</v>
      </c>
      <c r="I41" s="258"/>
      <c r="J41" s="258"/>
      <c r="K41" s="258"/>
      <c r="L41" s="258"/>
    </row>
    <row r="42" spans="1:15" ht="57" customHeight="1" x14ac:dyDescent="0.2">
      <c r="A42" s="267"/>
      <c r="B42" s="267"/>
      <c r="C42" s="267"/>
      <c r="D42" s="267"/>
      <c r="E42" s="267"/>
      <c r="F42" s="271"/>
      <c r="G42" s="271"/>
      <c r="H42" s="258"/>
      <c r="I42" s="258"/>
      <c r="J42" s="258"/>
      <c r="K42" s="258"/>
      <c r="L42" s="258"/>
    </row>
    <row r="43" spans="1:15" ht="25.5" customHeight="1" x14ac:dyDescent="0.2">
      <c r="A43" s="257"/>
      <c r="B43" s="257"/>
      <c r="C43" s="257"/>
      <c r="D43" s="257"/>
      <c r="E43" s="257"/>
      <c r="F43" s="291"/>
      <c r="G43" s="291"/>
      <c r="H43" s="258"/>
      <c r="I43" s="258"/>
      <c r="J43" s="258"/>
      <c r="K43" s="258"/>
      <c r="L43" s="258"/>
    </row>
    <row r="44" spans="1:15" ht="24.75" customHeight="1" x14ac:dyDescent="0.2">
      <c r="O44" s="231"/>
    </row>
    <row r="45" spans="1:15" ht="24.75" customHeight="1" x14ac:dyDescent="0.2">
      <c r="A45" s="214" t="s">
        <v>311</v>
      </c>
      <c r="O45" s="231"/>
    </row>
    <row r="46" spans="1:15" ht="24.75" customHeight="1" x14ac:dyDescent="0.2">
      <c r="A46" s="255" t="s">
        <v>305</v>
      </c>
      <c r="B46" s="255"/>
      <c r="C46" s="255"/>
      <c r="D46" s="255"/>
      <c r="E46" s="255"/>
      <c r="F46" s="265" t="s">
        <v>306</v>
      </c>
      <c r="G46" s="265"/>
      <c r="H46" s="266" t="s">
        <v>312</v>
      </c>
      <c r="I46" s="266"/>
      <c r="J46" s="266"/>
      <c r="K46" s="266"/>
      <c r="L46" s="266"/>
      <c r="O46" s="231"/>
    </row>
    <row r="47" spans="1:15" ht="115.5" customHeight="1" x14ac:dyDescent="0.2">
      <c r="A47" s="270" t="s">
        <v>409</v>
      </c>
      <c r="B47" s="270"/>
      <c r="C47" s="270"/>
      <c r="D47" s="270"/>
      <c r="E47" s="270"/>
      <c r="F47" s="271"/>
      <c r="G47" s="271"/>
      <c r="H47" s="258"/>
      <c r="I47" s="258"/>
      <c r="J47" s="258"/>
      <c r="K47" s="258"/>
      <c r="L47" s="258"/>
    </row>
    <row r="48" spans="1:15" ht="115.5" customHeight="1" x14ac:dyDescent="0.2">
      <c r="A48" s="272"/>
      <c r="B48" s="272"/>
      <c r="C48" s="272"/>
      <c r="D48" s="272"/>
      <c r="E48" s="272"/>
      <c r="F48" s="273"/>
      <c r="G48" s="273"/>
      <c r="H48" s="274"/>
      <c r="I48" s="274"/>
      <c r="J48" s="274"/>
      <c r="K48" s="274"/>
      <c r="L48" s="274"/>
    </row>
    <row r="49" spans="1:15" ht="115.5" customHeight="1" x14ac:dyDescent="0.2">
      <c r="A49" s="267"/>
      <c r="B49" s="267"/>
      <c r="C49" s="267"/>
      <c r="D49" s="267"/>
      <c r="E49" s="267"/>
      <c r="F49" s="268"/>
      <c r="G49" s="268"/>
      <c r="H49" s="275"/>
      <c r="I49" s="275"/>
      <c r="J49" s="275"/>
      <c r="K49" s="275"/>
      <c r="L49" s="275"/>
    </row>
    <row r="51" spans="1:15" ht="24.75" customHeight="1" x14ac:dyDescent="0.2">
      <c r="A51" s="214" t="s">
        <v>320</v>
      </c>
      <c r="O51" s="231"/>
    </row>
    <row r="52" spans="1:15" ht="24.75" customHeight="1" x14ac:dyDescent="0.2">
      <c r="A52" s="276" t="s">
        <v>305</v>
      </c>
      <c r="B52" s="276"/>
      <c r="C52" s="276"/>
      <c r="D52" s="276"/>
      <c r="E52" s="276"/>
      <c r="F52" s="277" t="s">
        <v>321</v>
      </c>
      <c r="G52" s="277"/>
      <c r="H52" s="278" t="s">
        <v>322</v>
      </c>
      <c r="I52" s="278"/>
      <c r="J52" s="279" t="s">
        <v>323</v>
      </c>
      <c r="K52" s="279"/>
      <c r="L52" s="279"/>
      <c r="M52" s="279"/>
      <c r="N52" s="279"/>
      <c r="O52" s="231"/>
    </row>
    <row r="53" spans="1:15" ht="66.75" customHeight="1" x14ac:dyDescent="0.2">
      <c r="A53" s="280" t="s">
        <v>348</v>
      </c>
      <c r="B53" s="280"/>
      <c r="C53" s="280"/>
      <c r="D53" s="280"/>
      <c r="E53" s="280"/>
      <c r="F53" s="281" t="s">
        <v>349</v>
      </c>
      <c r="G53" s="281"/>
      <c r="H53" s="282" t="s">
        <v>410</v>
      </c>
      <c r="I53" s="282"/>
      <c r="J53" s="283" t="s">
        <v>375</v>
      </c>
      <c r="K53" s="283"/>
      <c r="L53" s="283"/>
      <c r="M53" s="283"/>
      <c r="N53" s="283"/>
    </row>
    <row r="54" spans="1:15" x14ac:dyDescent="0.2">
      <c r="A54" s="284"/>
      <c r="B54" s="284"/>
      <c r="C54" s="284"/>
      <c r="D54" s="284"/>
      <c r="E54" s="284"/>
      <c r="F54" s="285"/>
      <c r="G54" s="285"/>
      <c r="H54" s="286"/>
      <c r="I54" s="286"/>
      <c r="J54" s="287"/>
      <c r="K54" s="287"/>
      <c r="L54" s="287"/>
      <c r="M54" s="287"/>
      <c r="N54" s="287"/>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98">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3:E43"/>
    <mergeCell ref="F43:G43"/>
    <mergeCell ref="H43:L43"/>
    <mergeCell ref="A46:E46"/>
    <mergeCell ref="F46:G46"/>
    <mergeCell ref="H46:L46"/>
    <mergeCell ref="A41:E41"/>
    <mergeCell ref="F41:G41"/>
    <mergeCell ref="H41:L41"/>
    <mergeCell ref="A42:E42"/>
    <mergeCell ref="F42:G42"/>
    <mergeCell ref="H42:L42"/>
    <mergeCell ref="A37:E37"/>
    <mergeCell ref="F37:J37"/>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topLeftCell="A47" zoomScaleNormal="100" workbookViewId="0">
      <selection activeCell="B21" sqref="B21"/>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t="s">
        <v>411</v>
      </c>
      <c r="C9" s="243"/>
      <c r="D9" s="243"/>
      <c r="E9" s="243"/>
      <c r="F9" s="243"/>
      <c r="G9" s="244" t="s">
        <v>412</v>
      </c>
      <c r="H9" s="244"/>
      <c r="I9" s="244"/>
      <c r="J9" s="244"/>
      <c r="K9" s="244"/>
      <c r="N9" s="217"/>
    </row>
    <row r="10" spans="1:14" ht="217.5" customHeight="1" x14ac:dyDescent="0.2">
      <c r="A10" s="218" t="s">
        <v>229</v>
      </c>
      <c r="B10" s="245" t="s">
        <v>413</v>
      </c>
      <c r="C10" s="245"/>
      <c r="D10" s="245"/>
      <c r="E10" s="245"/>
      <c r="F10" s="245"/>
      <c r="G10" s="246"/>
      <c r="H10" s="246"/>
      <c r="I10" s="246"/>
      <c r="J10" s="246"/>
      <c r="K10" s="246"/>
    </row>
    <row r="11" spans="1:14" ht="143.25" customHeight="1" x14ac:dyDescent="0.2">
      <c r="A11" s="218" t="s">
        <v>257</v>
      </c>
      <c r="B11" s="245" t="s">
        <v>414</v>
      </c>
      <c r="C11" s="245"/>
      <c r="D11" s="245"/>
      <c r="E11" s="245"/>
      <c r="F11" s="245"/>
      <c r="G11" s="246" t="s">
        <v>415</v>
      </c>
      <c r="H11" s="246"/>
      <c r="I11" s="246"/>
      <c r="J11" s="246"/>
      <c r="K11" s="246"/>
    </row>
    <row r="12" spans="1:14" ht="241.5" customHeight="1" x14ac:dyDescent="0.2">
      <c r="A12" s="218" t="s">
        <v>258</v>
      </c>
      <c r="B12" s="245"/>
      <c r="C12" s="245"/>
      <c r="D12" s="245"/>
      <c r="E12" s="245"/>
      <c r="F12" s="245"/>
      <c r="G12" s="246" t="s">
        <v>416</v>
      </c>
      <c r="H12" s="246"/>
      <c r="I12" s="246"/>
      <c r="J12" s="246"/>
      <c r="K12" s="246"/>
    </row>
    <row r="13" spans="1:14" ht="351.75" customHeight="1" x14ac:dyDescent="0.2">
      <c r="A13" s="218" t="s">
        <v>260</v>
      </c>
      <c r="B13" s="245"/>
      <c r="C13" s="245"/>
      <c r="D13" s="245"/>
      <c r="E13" s="245"/>
      <c r="F13" s="245"/>
      <c r="G13" s="247" t="s">
        <v>417</v>
      </c>
      <c r="H13" s="247"/>
      <c r="I13" s="247"/>
      <c r="J13" s="247"/>
      <c r="K13" s="247"/>
    </row>
    <row r="14" spans="1:14" ht="309" customHeight="1" x14ac:dyDescent="0.2">
      <c r="A14" s="218" t="s">
        <v>263</v>
      </c>
      <c r="B14" s="289" t="s">
        <v>418</v>
      </c>
      <c r="C14" s="289"/>
      <c r="D14" s="289"/>
      <c r="E14" s="289"/>
      <c r="F14" s="289"/>
      <c r="G14" s="246" t="s">
        <v>419</v>
      </c>
      <c r="H14" s="246"/>
      <c r="I14" s="246"/>
      <c r="J14" s="246"/>
      <c r="K14" s="246"/>
    </row>
    <row r="15" spans="1:14" ht="129.75" customHeight="1" x14ac:dyDescent="0.2">
      <c r="A15" s="218" t="s">
        <v>266</v>
      </c>
      <c r="B15" s="245" t="s">
        <v>420</v>
      </c>
      <c r="C15" s="245"/>
      <c r="D15" s="245"/>
      <c r="E15" s="245"/>
      <c r="F15" s="245"/>
      <c r="G15" s="247"/>
      <c r="H15" s="247"/>
      <c r="I15" s="247"/>
      <c r="J15" s="247"/>
      <c r="K15" s="247"/>
    </row>
    <row r="16" spans="1:14" ht="176.25" customHeight="1" x14ac:dyDescent="0.2">
      <c r="A16" s="218" t="s">
        <v>268</v>
      </c>
      <c r="B16" s="245"/>
      <c r="C16" s="245"/>
      <c r="D16" s="245"/>
      <c r="E16" s="245"/>
      <c r="F16" s="245"/>
      <c r="G16" s="247" t="s">
        <v>421</v>
      </c>
      <c r="H16" s="247"/>
      <c r="I16" s="247"/>
      <c r="J16" s="247"/>
      <c r="K16" s="247"/>
    </row>
    <row r="17" spans="1:11" ht="212.25" customHeight="1" x14ac:dyDescent="0.2">
      <c r="A17" s="218" t="s">
        <v>271</v>
      </c>
      <c r="B17" s="245"/>
      <c r="C17" s="245"/>
      <c r="D17" s="245"/>
      <c r="E17" s="245"/>
      <c r="F17" s="245"/>
      <c r="G17" s="247"/>
      <c r="H17" s="247"/>
      <c r="I17" s="247"/>
      <c r="J17" s="247"/>
      <c r="K17" s="247"/>
    </row>
    <row r="18" spans="1:11" ht="409.5" customHeight="1" x14ac:dyDescent="0.2">
      <c r="A18" s="218" t="s">
        <v>272</v>
      </c>
      <c r="B18" s="245" t="s">
        <v>422</v>
      </c>
      <c r="C18" s="245"/>
      <c r="D18" s="245"/>
      <c r="E18" s="245"/>
      <c r="F18" s="245"/>
      <c r="G18" s="247" t="s">
        <v>423</v>
      </c>
      <c r="H18" s="247"/>
      <c r="I18" s="247"/>
      <c r="J18" s="247"/>
      <c r="K18" s="247"/>
    </row>
    <row r="19" spans="1:11" ht="248.25" customHeight="1" x14ac:dyDescent="0.2">
      <c r="A19" s="219" t="s">
        <v>274</v>
      </c>
      <c r="B19" s="250"/>
      <c r="C19" s="250"/>
      <c r="D19" s="250"/>
      <c r="E19" s="250"/>
      <c r="F19" s="250"/>
      <c r="G19" s="251"/>
      <c r="H19" s="251"/>
      <c r="I19" s="251"/>
      <c r="J19" s="251"/>
      <c r="K19" s="251"/>
    </row>
    <row r="20" spans="1:11" ht="146.25" customHeight="1" x14ac:dyDescent="0.2">
      <c r="A20" s="219" t="s">
        <v>276</v>
      </c>
      <c r="B20" s="252" t="s">
        <v>424</v>
      </c>
      <c r="C20" s="252"/>
      <c r="D20" s="252"/>
      <c r="E20" s="252"/>
      <c r="F20" s="252"/>
      <c r="G20" s="292"/>
      <c r="H20" s="292"/>
      <c r="I20" s="292"/>
      <c r="J20" s="292"/>
      <c r="K20" s="292"/>
    </row>
    <row r="21" spans="1:11" ht="146.25" customHeight="1" x14ac:dyDescent="0.2">
      <c r="A21" s="219" t="s">
        <v>233</v>
      </c>
      <c r="B21" s="290" t="s">
        <v>425</v>
      </c>
      <c r="C21" s="290"/>
      <c r="D21" s="290"/>
      <c r="E21" s="290"/>
      <c r="F21" s="290"/>
      <c r="G21" s="254" t="s">
        <v>426</v>
      </c>
      <c r="H21" s="254"/>
      <c r="I21" s="254"/>
      <c r="J21" s="254"/>
      <c r="K21" s="254"/>
    </row>
    <row r="22" spans="1:11" ht="180" customHeight="1" x14ac:dyDescent="0.2">
      <c r="A22" s="219" t="s">
        <v>235</v>
      </c>
      <c r="B22" s="250" t="s">
        <v>427</v>
      </c>
      <c r="C22" s="250"/>
      <c r="D22" s="250"/>
      <c r="E22" s="250"/>
      <c r="F22" s="250"/>
      <c r="G22" s="251" t="s">
        <v>428</v>
      </c>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399</v>
      </c>
      <c r="B27" s="257"/>
      <c r="C27" s="257"/>
      <c r="D27" s="257"/>
      <c r="E27" s="257"/>
      <c r="F27" s="258" t="s">
        <v>400</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93" customHeight="1" x14ac:dyDescent="0.2">
      <c r="A32" s="263" t="s">
        <v>401</v>
      </c>
      <c r="B32" s="263"/>
      <c r="C32" s="263"/>
      <c r="D32" s="263"/>
      <c r="E32" s="263"/>
      <c r="F32" s="262" t="s">
        <v>402</v>
      </c>
      <c r="G32" s="262"/>
      <c r="H32" s="262"/>
      <c r="I32" s="262"/>
      <c r="J32" s="262"/>
    </row>
    <row r="33" spans="1:15" ht="93" customHeight="1" x14ac:dyDescent="0.2">
      <c r="A33" s="257" t="s">
        <v>294</v>
      </c>
      <c r="B33" s="257"/>
      <c r="C33" s="257"/>
      <c r="D33" s="257"/>
      <c r="E33" s="257"/>
      <c r="F33" s="264" t="s">
        <v>295</v>
      </c>
      <c r="G33" s="264"/>
      <c r="H33" s="264"/>
      <c r="I33" s="264"/>
      <c r="J33" s="264"/>
    </row>
    <row r="34" spans="1:15" ht="93" customHeight="1" x14ac:dyDescent="0.2">
      <c r="A34" s="257" t="s">
        <v>296</v>
      </c>
      <c r="B34" s="257"/>
      <c r="C34" s="257"/>
      <c r="D34" s="257"/>
      <c r="E34" s="257"/>
      <c r="F34" s="264" t="s">
        <v>403</v>
      </c>
      <c r="G34" s="264"/>
      <c r="H34" s="264"/>
      <c r="I34" s="264"/>
      <c r="J34" s="264"/>
    </row>
    <row r="35" spans="1:15" ht="93" customHeight="1" x14ac:dyDescent="0.2">
      <c r="A35" s="257" t="s">
        <v>298</v>
      </c>
      <c r="B35" s="257"/>
      <c r="C35" s="257"/>
      <c r="D35" s="257"/>
      <c r="E35" s="257"/>
      <c r="F35" s="264" t="s">
        <v>404</v>
      </c>
      <c r="G35" s="264"/>
      <c r="H35" s="264"/>
      <c r="I35" s="264"/>
      <c r="J35" s="264"/>
    </row>
    <row r="36" spans="1:15" ht="93" customHeight="1" x14ac:dyDescent="0.2">
      <c r="A36" s="257" t="s">
        <v>405</v>
      </c>
      <c r="B36" s="257"/>
      <c r="C36" s="257"/>
      <c r="D36" s="257"/>
      <c r="E36" s="257"/>
      <c r="F36" s="264" t="s">
        <v>406</v>
      </c>
      <c r="G36" s="264"/>
      <c r="H36" s="264"/>
      <c r="I36" s="264"/>
      <c r="J36" s="264"/>
    </row>
    <row r="37" spans="1:15" ht="135" customHeight="1" x14ac:dyDescent="0.2">
      <c r="A37" s="263" t="s">
        <v>407</v>
      </c>
      <c r="B37" s="263"/>
      <c r="C37" s="263"/>
      <c r="D37" s="263"/>
      <c r="E37" s="263"/>
      <c r="F37" s="262" t="s">
        <v>408</v>
      </c>
      <c r="G37" s="262"/>
      <c r="H37" s="262"/>
      <c r="I37" s="262"/>
      <c r="J37" s="262"/>
    </row>
    <row r="39" spans="1:15" x14ac:dyDescent="0.2">
      <c r="A39" s="214" t="s">
        <v>304</v>
      </c>
    </row>
    <row r="40" spans="1:15" x14ac:dyDescent="0.2">
      <c r="A40" s="255" t="s">
        <v>305</v>
      </c>
      <c r="B40" s="255"/>
      <c r="C40" s="255"/>
      <c r="D40" s="255"/>
      <c r="E40" s="255"/>
      <c r="F40" s="265" t="s">
        <v>306</v>
      </c>
      <c r="G40" s="265"/>
      <c r="H40" s="266" t="s">
        <v>307</v>
      </c>
      <c r="I40" s="266"/>
      <c r="J40" s="266"/>
      <c r="K40" s="266"/>
      <c r="L40" s="266"/>
    </row>
    <row r="41" spans="1:15" ht="42.75" customHeight="1" x14ac:dyDescent="0.2">
      <c r="A41" s="267" t="s">
        <v>376</v>
      </c>
      <c r="B41" s="267"/>
      <c r="C41" s="267"/>
      <c r="D41" s="267"/>
      <c r="E41" s="267"/>
      <c r="F41" s="271" t="s">
        <v>377</v>
      </c>
      <c r="G41" s="271"/>
      <c r="H41" s="258" t="s">
        <v>192</v>
      </c>
      <c r="I41" s="258"/>
      <c r="J41" s="258"/>
      <c r="K41" s="258"/>
      <c r="L41" s="258"/>
    </row>
    <row r="42" spans="1:15" ht="57" customHeight="1" x14ac:dyDescent="0.2">
      <c r="A42" s="267"/>
      <c r="B42" s="267"/>
      <c r="C42" s="267"/>
      <c r="D42" s="267"/>
      <c r="E42" s="267"/>
      <c r="F42" s="271"/>
      <c r="G42" s="271"/>
      <c r="H42" s="258"/>
      <c r="I42" s="258"/>
      <c r="J42" s="258"/>
      <c r="K42" s="258"/>
      <c r="L42" s="258"/>
    </row>
    <row r="43" spans="1:15" ht="25.5" customHeight="1" x14ac:dyDescent="0.2">
      <c r="A43" s="257"/>
      <c r="B43" s="257"/>
      <c r="C43" s="257"/>
      <c r="D43" s="257"/>
      <c r="E43" s="257"/>
      <c r="F43" s="291"/>
      <c r="G43" s="291"/>
      <c r="H43" s="258"/>
      <c r="I43" s="258"/>
      <c r="J43" s="258"/>
      <c r="K43" s="258"/>
      <c r="L43" s="258"/>
    </row>
    <row r="44" spans="1:15" ht="24.75" customHeight="1" x14ac:dyDescent="0.2">
      <c r="O44" s="231"/>
    </row>
    <row r="45" spans="1:15" ht="24.75" customHeight="1" x14ac:dyDescent="0.2">
      <c r="A45" s="214" t="s">
        <v>311</v>
      </c>
      <c r="O45" s="231"/>
    </row>
    <row r="46" spans="1:15" ht="24.75" customHeight="1" x14ac:dyDescent="0.2">
      <c r="A46" s="255" t="s">
        <v>305</v>
      </c>
      <c r="B46" s="255"/>
      <c r="C46" s="255"/>
      <c r="D46" s="255"/>
      <c r="E46" s="255"/>
      <c r="F46" s="265" t="s">
        <v>306</v>
      </c>
      <c r="G46" s="265"/>
      <c r="H46" s="266" t="s">
        <v>312</v>
      </c>
      <c r="I46" s="266"/>
      <c r="J46" s="266"/>
      <c r="K46" s="266"/>
      <c r="L46" s="266"/>
      <c r="O46" s="231"/>
    </row>
    <row r="47" spans="1:15" ht="115.5" customHeight="1" x14ac:dyDescent="0.2">
      <c r="A47" s="270" t="s">
        <v>429</v>
      </c>
      <c r="B47" s="270"/>
      <c r="C47" s="270"/>
      <c r="D47" s="270"/>
      <c r="E47" s="270"/>
      <c r="F47" s="293" t="s">
        <v>430</v>
      </c>
      <c r="G47" s="293"/>
      <c r="H47" s="258" t="s">
        <v>431</v>
      </c>
      <c r="I47" s="258"/>
      <c r="J47" s="258"/>
      <c r="K47" s="258"/>
      <c r="L47" s="258"/>
    </row>
    <row r="48" spans="1:15" ht="115.5" customHeight="1" x14ac:dyDescent="0.2">
      <c r="A48" s="272" t="s">
        <v>432</v>
      </c>
      <c r="B48" s="272"/>
      <c r="C48" s="272"/>
      <c r="D48" s="272"/>
      <c r="E48" s="272"/>
      <c r="F48" s="294" t="s">
        <v>433</v>
      </c>
      <c r="G48" s="294"/>
      <c r="H48" s="274"/>
      <c r="I48" s="274"/>
      <c r="J48" s="274"/>
      <c r="K48" s="274"/>
      <c r="L48" s="274"/>
    </row>
    <row r="49" spans="1:15" ht="115.5" customHeight="1" x14ac:dyDescent="0.2">
      <c r="A49" s="267" t="s">
        <v>434</v>
      </c>
      <c r="B49" s="267"/>
      <c r="C49" s="267"/>
      <c r="D49" s="267"/>
      <c r="E49" s="267"/>
      <c r="F49" s="295" t="s">
        <v>435</v>
      </c>
      <c r="G49" s="295"/>
      <c r="H49" s="275"/>
      <c r="I49" s="275"/>
      <c r="J49" s="275"/>
      <c r="K49" s="275"/>
      <c r="L49" s="275"/>
    </row>
    <row r="51" spans="1:15" ht="24.75" customHeight="1" x14ac:dyDescent="0.2">
      <c r="A51" s="214" t="s">
        <v>320</v>
      </c>
      <c r="O51" s="231"/>
    </row>
    <row r="52" spans="1:15" ht="24.75" customHeight="1" x14ac:dyDescent="0.2">
      <c r="A52" s="276" t="s">
        <v>305</v>
      </c>
      <c r="B52" s="276"/>
      <c r="C52" s="276"/>
      <c r="D52" s="276"/>
      <c r="E52" s="276"/>
      <c r="F52" s="277" t="s">
        <v>321</v>
      </c>
      <c r="G52" s="277"/>
      <c r="H52" s="278" t="s">
        <v>322</v>
      </c>
      <c r="I52" s="278"/>
      <c r="J52" s="279" t="s">
        <v>323</v>
      </c>
      <c r="K52" s="279"/>
      <c r="L52" s="279"/>
      <c r="M52" s="279"/>
      <c r="N52" s="279"/>
      <c r="O52" s="231"/>
    </row>
    <row r="53" spans="1:15" ht="66.75" customHeight="1" x14ac:dyDescent="0.2">
      <c r="A53" s="280" t="s">
        <v>348</v>
      </c>
      <c r="B53" s="280"/>
      <c r="C53" s="280"/>
      <c r="D53" s="280"/>
      <c r="E53" s="280"/>
      <c r="F53" s="281" t="s">
        <v>349</v>
      </c>
      <c r="G53" s="281"/>
      <c r="H53" s="282" t="s">
        <v>410</v>
      </c>
      <c r="I53" s="282"/>
      <c r="J53" s="283" t="s">
        <v>375</v>
      </c>
      <c r="K53" s="283"/>
      <c r="L53" s="283"/>
      <c r="M53" s="283"/>
      <c r="N53" s="283"/>
    </row>
    <row r="54" spans="1:15" ht="24.75" customHeight="1" x14ac:dyDescent="0.2">
      <c r="A54" s="272" t="s">
        <v>429</v>
      </c>
      <c r="B54" s="272"/>
      <c r="C54" s="272"/>
      <c r="D54" s="272"/>
      <c r="E54" s="272"/>
      <c r="F54" s="273" t="s">
        <v>430</v>
      </c>
      <c r="G54" s="273"/>
      <c r="H54" s="286"/>
      <c r="I54" s="286"/>
      <c r="J54" s="274" t="s">
        <v>436</v>
      </c>
      <c r="K54" s="274"/>
      <c r="L54" s="274"/>
      <c r="M54" s="274"/>
      <c r="N54" s="274"/>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98">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49:E49"/>
    <mergeCell ref="F49:G49"/>
    <mergeCell ref="H49:L49"/>
    <mergeCell ref="A52:E52"/>
    <mergeCell ref="F52:G52"/>
    <mergeCell ref="H52:I52"/>
    <mergeCell ref="J52:N52"/>
    <mergeCell ref="A47:E47"/>
    <mergeCell ref="F47:G47"/>
    <mergeCell ref="H47:L47"/>
    <mergeCell ref="A48:E48"/>
    <mergeCell ref="F48:G48"/>
    <mergeCell ref="H48:L48"/>
    <mergeCell ref="A43:E43"/>
    <mergeCell ref="F43:G43"/>
    <mergeCell ref="H43:L43"/>
    <mergeCell ref="A46:E46"/>
    <mergeCell ref="F46:G46"/>
    <mergeCell ref="H46:L46"/>
    <mergeCell ref="A41:E41"/>
    <mergeCell ref="F41:G41"/>
    <mergeCell ref="H41:L41"/>
    <mergeCell ref="A42:E42"/>
    <mergeCell ref="F42:G42"/>
    <mergeCell ref="H42:L42"/>
    <mergeCell ref="A37:E37"/>
    <mergeCell ref="F37:J37"/>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zoomScaleNormal="100" workbookViewId="0">
      <selection activeCell="H54" sqref="H54:I54"/>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t="s">
        <v>437</v>
      </c>
      <c r="C9" s="243"/>
      <c r="D9" s="243"/>
      <c r="E9" s="243"/>
      <c r="F9" s="243"/>
      <c r="G9" s="244"/>
      <c r="H9" s="244"/>
      <c r="I9" s="244"/>
      <c r="J9" s="244"/>
      <c r="K9" s="244"/>
      <c r="N9" s="217"/>
    </row>
    <row r="10" spans="1:14" ht="217.5" customHeight="1" x14ac:dyDescent="0.2">
      <c r="A10" s="218" t="s">
        <v>229</v>
      </c>
      <c r="B10" s="245"/>
      <c r="C10" s="245"/>
      <c r="D10" s="245"/>
      <c r="E10" s="245"/>
      <c r="F10" s="245"/>
      <c r="G10" s="246"/>
      <c r="H10" s="246"/>
      <c r="I10" s="246"/>
      <c r="J10" s="246"/>
      <c r="K10" s="246"/>
    </row>
    <row r="11" spans="1:14" ht="143.25" customHeight="1" x14ac:dyDescent="0.2">
      <c r="A11" s="218" t="s">
        <v>257</v>
      </c>
      <c r="B11" s="245" t="s">
        <v>438</v>
      </c>
      <c r="C11" s="245"/>
      <c r="D11" s="245"/>
      <c r="E11" s="245"/>
      <c r="F11" s="245"/>
      <c r="G11" s="246"/>
      <c r="H11" s="246"/>
      <c r="I11" s="246"/>
      <c r="J11" s="246"/>
      <c r="K11" s="246"/>
    </row>
    <row r="12" spans="1:14" ht="241.5" customHeight="1" x14ac:dyDescent="0.2">
      <c r="A12" s="218" t="s">
        <v>258</v>
      </c>
      <c r="B12" s="245" t="s">
        <v>439</v>
      </c>
      <c r="C12" s="245"/>
      <c r="D12" s="245"/>
      <c r="E12" s="245"/>
      <c r="F12" s="245"/>
      <c r="G12" s="246"/>
      <c r="H12" s="246"/>
      <c r="I12" s="246"/>
      <c r="J12" s="246"/>
      <c r="K12" s="246"/>
    </row>
    <row r="13" spans="1:14" ht="351.75" customHeight="1" x14ac:dyDescent="0.2">
      <c r="A13" s="218" t="s">
        <v>260</v>
      </c>
      <c r="B13" s="245"/>
      <c r="C13" s="245"/>
      <c r="D13" s="245"/>
      <c r="E13" s="245"/>
      <c r="F13" s="245"/>
      <c r="G13" s="247" t="s">
        <v>440</v>
      </c>
      <c r="H13" s="247"/>
      <c r="I13" s="247"/>
      <c r="J13" s="247"/>
      <c r="K13" s="247"/>
    </row>
    <row r="14" spans="1:14" ht="309" customHeight="1" x14ac:dyDescent="0.2">
      <c r="A14" s="218" t="s">
        <v>263</v>
      </c>
      <c r="B14" s="289" t="s">
        <v>441</v>
      </c>
      <c r="C14" s="289"/>
      <c r="D14" s="289"/>
      <c r="E14" s="289"/>
      <c r="F14" s="289"/>
      <c r="G14" s="246"/>
      <c r="H14" s="246"/>
      <c r="I14" s="246"/>
      <c r="J14" s="246"/>
      <c r="K14" s="246"/>
    </row>
    <row r="15" spans="1:14" ht="129.75" customHeight="1" x14ac:dyDescent="0.2">
      <c r="A15" s="218" t="s">
        <v>266</v>
      </c>
      <c r="B15" s="245" t="s">
        <v>442</v>
      </c>
      <c r="C15" s="245"/>
      <c r="D15" s="245"/>
      <c r="E15" s="245"/>
      <c r="F15" s="245"/>
      <c r="G15" s="247"/>
      <c r="H15" s="247"/>
      <c r="I15" s="247"/>
      <c r="J15" s="247"/>
      <c r="K15" s="247"/>
    </row>
    <row r="16" spans="1:14" ht="176.25" customHeight="1" x14ac:dyDescent="0.2">
      <c r="A16" s="218" t="s">
        <v>268</v>
      </c>
      <c r="B16" s="245"/>
      <c r="C16" s="245"/>
      <c r="D16" s="245"/>
      <c r="E16" s="245"/>
      <c r="F16" s="245"/>
      <c r="G16" s="247"/>
      <c r="H16" s="247"/>
      <c r="I16" s="247"/>
      <c r="J16" s="247"/>
      <c r="K16" s="247"/>
    </row>
    <row r="17" spans="1:11" ht="212.25" customHeight="1" x14ac:dyDescent="0.2">
      <c r="A17" s="218" t="s">
        <v>271</v>
      </c>
      <c r="B17" s="245" t="s">
        <v>443</v>
      </c>
      <c r="C17" s="245"/>
      <c r="D17" s="245"/>
      <c r="E17" s="245"/>
      <c r="F17" s="245"/>
      <c r="G17" s="247"/>
      <c r="H17" s="247"/>
      <c r="I17" s="247"/>
      <c r="J17" s="247"/>
      <c r="K17" s="247"/>
    </row>
    <row r="18" spans="1:11" ht="409.5" customHeight="1" x14ac:dyDescent="0.2">
      <c r="A18" s="218" t="s">
        <v>272</v>
      </c>
      <c r="B18" s="245" t="s">
        <v>444</v>
      </c>
      <c r="C18" s="245"/>
      <c r="D18" s="245"/>
      <c r="E18" s="245"/>
      <c r="F18" s="245"/>
      <c r="G18" s="247" t="s">
        <v>445</v>
      </c>
      <c r="H18" s="247"/>
      <c r="I18" s="247"/>
      <c r="J18" s="247"/>
      <c r="K18" s="247"/>
    </row>
    <row r="19" spans="1:11" ht="248.25" customHeight="1" x14ac:dyDescent="0.2">
      <c r="A19" s="219" t="s">
        <v>274</v>
      </c>
      <c r="B19" s="250"/>
      <c r="C19" s="250"/>
      <c r="D19" s="250"/>
      <c r="E19" s="250"/>
      <c r="F19" s="250"/>
      <c r="G19" s="251"/>
      <c r="H19" s="251"/>
      <c r="I19" s="251"/>
      <c r="J19" s="251"/>
      <c r="K19" s="251"/>
    </row>
    <row r="20" spans="1:11" ht="146.25" customHeight="1" x14ac:dyDescent="0.2">
      <c r="A20" s="219" t="s">
        <v>276</v>
      </c>
      <c r="B20" s="252" t="s">
        <v>446</v>
      </c>
      <c r="C20" s="252"/>
      <c r="D20" s="252"/>
      <c r="E20" s="252"/>
      <c r="F20" s="252"/>
      <c r="G20" s="292"/>
      <c r="H20" s="292"/>
      <c r="I20" s="292"/>
      <c r="J20" s="292"/>
      <c r="K20" s="292"/>
    </row>
    <row r="21" spans="1:11" ht="146.25" customHeight="1" x14ac:dyDescent="0.2">
      <c r="A21" s="219" t="s">
        <v>233</v>
      </c>
      <c r="B21" s="290" t="s">
        <v>447</v>
      </c>
      <c r="C21" s="290"/>
      <c r="D21" s="290"/>
      <c r="E21" s="290"/>
      <c r="F21" s="290"/>
      <c r="G21" s="254"/>
      <c r="H21" s="254"/>
      <c r="I21" s="254"/>
      <c r="J21" s="254"/>
      <c r="K21" s="254"/>
    </row>
    <row r="22" spans="1:11" ht="180" customHeight="1" x14ac:dyDescent="0.2">
      <c r="A22" s="219" t="s">
        <v>235</v>
      </c>
      <c r="B22" s="250"/>
      <c r="C22" s="250"/>
      <c r="D22" s="250"/>
      <c r="E22" s="250"/>
      <c r="F22" s="250"/>
      <c r="G22" s="251"/>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399</v>
      </c>
      <c r="B27" s="257"/>
      <c r="C27" s="257"/>
      <c r="D27" s="257"/>
      <c r="E27" s="257"/>
      <c r="F27" s="258" t="s">
        <v>400</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93" customHeight="1" x14ac:dyDescent="0.2">
      <c r="A32" s="257" t="s">
        <v>294</v>
      </c>
      <c r="B32" s="257"/>
      <c r="C32" s="257"/>
      <c r="D32" s="257"/>
      <c r="E32" s="257"/>
      <c r="F32" s="264" t="s">
        <v>295</v>
      </c>
      <c r="G32" s="264"/>
      <c r="H32" s="264"/>
      <c r="I32" s="264"/>
      <c r="J32" s="264"/>
    </row>
    <row r="33" spans="1:15" ht="118.5" customHeight="1" x14ac:dyDescent="0.2">
      <c r="A33" s="257" t="s">
        <v>296</v>
      </c>
      <c r="B33" s="257"/>
      <c r="C33" s="257"/>
      <c r="D33" s="257"/>
      <c r="E33" s="257"/>
      <c r="F33" s="264" t="s">
        <v>448</v>
      </c>
      <c r="G33" s="264"/>
      <c r="H33" s="264"/>
      <c r="I33" s="264"/>
      <c r="J33" s="264"/>
    </row>
    <row r="34" spans="1:15" ht="93" customHeight="1" x14ac:dyDescent="0.2">
      <c r="A34" s="257" t="s">
        <v>298</v>
      </c>
      <c r="B34" s="257"/>
      <c r="C34" s="257"/>
      <c r="D34" s="257"/>
      <c r="E34" s="257"/>
      <c r="F34" s="264" t="s">
        <v>404</v>
      </c>
      <c r="G34" s="264"/>
      <c r="H34" s="264"/>
      <c r="I34" s="264"/>
      <c r="J34" s="264"/>
    </row>
    <row r="35" spans="1:15" ht="93" customHeight="1" x14ac:dyDescent="0.2">
      <c r="A35" s="257" t="s">
        <v>405</v>
      </c>
      <c r="B35" s="257"/>
      <c r="C35" s="257"/>
      <c r="D35" s="257"/>
      <c r="E35" s="257"/>
      <c r="F35" s="264" t="s">
        <v>406</v>
      </c>
      <c r="G35" s="264"/>
      <c r="H35" s="264"/>
      <c r="I35" s="264"/>
      <c r="J35" s="264"/>
    </row>
    <row r="36" spans="1:15" ht="135" customHeight="1" x14ac:dyDescent="0.2">
      <c r="A36" s="263" t="s">
        <v>407</v>
      </c>
      <c r="B36" s="263"/>
      <c r="C36" s="263"/>
      <c r="D36" s="263"/>
      <c r="E36" s="263"/>
      <c r="F36" s="262" t="s">
        <v>408</v>
      </c>
      <c r="G36" s="262"/>
      <c r="H36" s="262"/>
      <c r="I36" s="262"/>
      <c r="J36" s="262"/>
    </row>
    <row r="38" spans="1:15" x14ac:dyDescent="0.2">
      <c r="A38" s="214" t="s">
        <v>304</v>
      </c>
    </row>
    <row r="39" spans="1:15" x14ac:dyDescent="0.2">
      <c r="A39" s="255" t="s">
        <v>305</v>
      </c>
      <c r="B39" s="255"/>
      <c r="C39" s="255"/>
      <c r="D39" s="255"/>
      <c r="E39" s="255"/>
      <c r="F39" s="265" t="s">
        <v>306</v>
      </c>
      <c r="G39" s="265"/>
      <c r="H39" s="266" t="s">
        <v>307</v>
      </c>
      <c r="I39" s="266"/>
      <c r="J39" s="266"/>
      <c r="K39" s="266"/>
      <c r="L39" s="266"/>
    </row>
    <row r="40" spans="1:15" ht="115.5" customHeight="1" x14ac:dyDescent="0.2">
      <c r="A40" s="270" t="s">
        <v>429</v>
      </c>
      <c r="B40" s="270"/>
      <c r="C40" s="270"/>
      <c r="D40" s="270"/>
      <c r="E40" s="270"/>
      <c r="F40" s="293" t="s">
        <v>430</v>
      </c>
      <c r="G40" s="293"/>
      <c r="H40" s="258" t="s">
        <v>449</v>
      </c>
      <c r="I40" s="258"/>
      <c r="J40" s="258"/>
      <c r="K40" s="258"/>
      <c r="L40" s="258"/>
    </row>
    <row r="41" spans="1:15" ht="115.5" customHeight="1" x14ac:dyDescent="0.2">
      <c r="A41" s="272" t="s">
        <v>432</v>
      </c>
      <c r="B41" s="272"/>
      <c r="C41" s="272"/>
      <c r="D41" s="272"/>
      <c r="E41" s="272"/>
      <c r="F41" s="294" t="s">
        <v>433</v>
      </c>
      <c r="G41" s="294"/>
      <c r="H41" s="274"/>
      <c r="I41" s="274"/>
      <c r="J41" s="274"/>
      <c r="K41" s="274"/>
      <c r="L41" s="274"/>
    </row>
    <row r="42" spans="1:15" ht="115.5" customHeight="1" x14ac:dyDescent="0.2">
      <c r="A42" s="267" t="s">
        <v>434</v>
      </c>
      <c r="B42" s="267"/>
      <c r="C42" s="267"/>
      <c r="D42" s="267"/>
      <c r="E42" s="267"/>
      <c r="F42" s="295" t="s">
        <v>435</v>
      </c>
      <c r="G42" s="295"/>
      <c r="H42" s="275"/>
      <c r="I42" s="275"/>
      <c r="J42" s="275"/>
      <c r="K42" s="275"/>
      <c r="L42" s="275"/>
    </row>
    <row r="43" spans="1:15" ht="24.75" customHeight="1" x14ac:dyDescent="0.2">
      <c r="O43" s="231"/>
    </row>
    <row r="44" spans="1:15" ht="24.75" customHeight="1" x14ac:dyDescent="0.2">
      <c r="A44" s="214" t="s">
        <v>311</v>
      </c>
      <c r="O44" s="231"/>
    </row>
    <row r="45" spans="1:15" ht="24.75" customHeight="1" x14ac:dyDescent="0.2">
      <c r="A45" s="255" t="s">
        <v>305</v>
      </c>
      <c r="B45" s="255"/>
      <c r="C45" s="255"/>
      <c r="D45" s="255"/>
      <c r="E45" s="255"/>
      <c r="F45" s="265" t="s">
        <v>306</v>
      </c>
      <c r="G45" s="265"/>
      <c r="H45" s="266" t="s">
        <v>312</v>
      </c>
      <c r="I45" s="266"/>
      <c r="J45" s="266"/>
      <c r="K45" s="266"/>
      <c r="L45" s="266"/>
      <c r="O45" s="231"/>
    </row>
    <row r="46" spans="1:15" ht="115.5" customHeight="1" x14ac:dyDescent="0.2">
      <c r="A46" s="270"/>
      <c r="B46" s="270"/>
      <c r="C46" s="270"/>
      <c r="D46" s="270"/>
      <c r="E46" s="270"/>
      <c r="F46" s="293"/>
      <c r="G46" s="293"/>
      <c r="H46" s="258"/>
      <c r="I46" s="258"/>
      <c r="J46" s="258"/>
      <c r="K46" s="258"/>
      <c r="L46" s="258"/>
    </row>
    <row r="47" spans="1:15" ht="115.5" customHeight="1" x14ac:dyDescent="0.2">
      <c r="A47" s="272"/>
      <c r="B47" s="272"/>
      <c r="C47" s="272"/>
      <c r="D47" s="272"/>
      <c r="E47" s="272"/>
      <c r="F47" s="294"/>
      <c r="G47" s="294"/>
      <c r="H47" s="274"/>
      <c r="I47" s="274"/>
      <c r="J47" s="274"/>
      <c r="K47" s="274"/>
      <c r="L47" s="274"/>
    </row>
    <row r="48" spans="1:15" ht="115.5" customHeight="1" x14ac:dyDescent="0.2">
      <c r="A48" s="267"/>
      <c r="B48" s="267"/>
      <c r="C48" s="267"/>
      <c r="D48" s="267"/>
      <c r="E48" s="267"/>
      <c r="F48" s="295"/>
      <c r="G48" s="295"/>
      <c r="H48" s="275"/>
      <c r="I48" s="275"/>
      <c r="J48" s="275"/>
      <c r="K48" s="275"/>
      <c r="L48" s="275"/>
    </row>
    <row r="50" spans="1:15" ht="24.75" customHeight="1" x14ac:dyDescent="0.2">
      <c r="A50" s="214" t="s">
        <v>320</v>
      </c>
      <c r="O50" s="231"/>
    </row>
    <row r="51" spans="1:15" ht="24.75" customHeight="1" x14ac:dyDescent="0.2">
      <c r="A51" s="276" t="s">
        <v>305</v>
      </c>
      <c r="B51" s="276"/>
      <c r="C51" s="276"/>
      <c r="D51" s="276"/>
      <c r="E51" s="276"/>
      <c r="F51" s="277" t="s">
        <v>321</v>
      </c>
      <c r="G51" s="277"/>
      <c r="H51" s="278" t="s">
        <v>322</v>
      </c>
      <c r="I51" s="278"/>
      <c r="J51" s="279" t="s">
        <v>323</v>
      </c>
      <c r="K51" s="279"/>
      <c r="L51" s="279"/>
      <c r="M51" s="279"/>
      <c r="N51" s="279"/>
      <c r="O51" s="231"/>
    </row>
    <row r="52" spans="1:15" ht="66.75" customHeight="1" x14ac:dyDescent="0.2">
      <c r="A52" s="280" t="s">
        <v>348</v>
      </c>
      <c r="B52" s="280"/>
      <c r="C52" s="280"/>
      <c r="D52" s="280"/>
      <c r="E52" s="280"/>
      <c r="F52" s="281" t="s">
        <v>349</v>
      </c>
      <c r="G52" s="281"/>
      <c r="H52" s="282" t="s">
        <v>410</v>
      </c>
      <c r="I52" s="282"/>
      <c r="J52" s="283" t="s">
        <v>450</v>
      </c>
      <c r="K52" s="283"/>
      <c r="L52" s="283"/>
      <c r="M52" s="283"/>
      <c r="N52" s="283"/>
    </row>
    <row r="53" spans="1:15" ht="66.75" customHeight="1" x14ac:dyDescent="0.2">
      <c r="A53" s="257" t="s">
        <v>429</v>
      </c>
      <c r="B53" s="257"/>
      <c r="C53" s="257"/>
      <c r="D53" s="257"/>
      <c r="E53" s="257"/>
      <c r="F53" s="291" t="s">
        <v>430</v>
      </c>
      <c r="G53" s="291"/>
      <c r="H53" s="296" t="s">
        <v>451</v>
      </c>
      <c r="I53" s="296"/>
      <c r="J53" s="258" t="s">
        <v>452</v>
      </c>
      <c r="K53" s="258"/>
      <c r="L53" s="258"/>
      <c r="M53" s="258"/>
      <c r="N53" s="258"/>
    </row>
    <row r="54" spans="1:15" ht="24.75" customHeight="1" x14ac:dyDescent="0.2">
      <c r="A54" s="257" t="s">
        <v>432</v>
      </c>
      <c r="B54" s="257"/>
      <c r="C54" s="257"/>
      <c r="D54" s="257"/>
      <c r="E54" s="257"/>
      <c r="F54" s="291" t="s">
        <v>433</v>
      </c>
      <c r="G54" s="291"/>
      <c r="H54" s="296" t="s">
        <v>451</v>
      </c>
      <c r="I54" s="296"/>
      <c r="J54" s="258"/>
      <c r="K54" s="258"/>
      <c r="L54" s="258"/>
      <c r="M54" s="258"/>
      <c r="N54" s="258"/>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100">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51:E51"/>
    <mergeCell ref="F51:G51"/>
    <mergeCell ref="H51:I51"/>
    <mergeCell ref="J51:N51"/>
    <mergeCell ref="A52:E52"/>
    <mergeCell ref="F52:G52"/>
    <mergeCell ref="H52:I52"/>
    <mergeCell ref="J52:N52"/>
    <mergeCell ref="A47:E47"/>
    <mergeCell ref="F47:G47"/>
    <mergeCell ref="H47:L47"/>
    <mergeCell ref="A48:E48"/>
    <mergeCell ref="F48:G48"/>
    <mergeCell ref="H48:L48"/>
    <mergeCell ref="A45:E45"/>
    <mergeCell ref="F45:G45"/>
    <mergeCell ref="H45:L45"/>
    <mergeCell ref="A46:E46"/>
    <mergeCell ref="F46:G46"/>
    <mergeCell ref="H46:L46"/>
    <mergeCell ref="A41:E41"/>
    <mergeCell ref="F41:G41"/>
    <mergeCell ref="H41:L41"/>
    <mergeCell ref="A42:E42"/>
    <mergeCell ref="F42:G42"/>
    <mergeCell ref="H42:L42"/>
    <mergeCell ref="A39:E39"/>
    <mergeCell ref="F39:G39"/>
    <mergeCell ref="H39:L39"/>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topLeftCell="A15" zoomScaleNormal="100" workbookViewId="0">
      <selection activeCell="B15" sqref="B15:F15"/>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t="s">
        <v>453</v>
      </c>
      <c r="C9" s="243"/>
      <c r="D9" s="243"/>
      <c r="E9" s="243"/>
      <c r="F9" s="243"/>
      <c r="G9" s="244"/>
      <c r="H9" s="244"/>
      <c r="I9" s="244"/>
      <c r="J9" s="244"/>
      <c r="K9" s="244"/>
      <c r="N9" s="217"/>
    </row>
    <row r="10" spans="1:14" ht="217.5" customHeight="1" x14ac:dyDescent="0.2">
      <c r="A10" s="218" t="s">
        <v>229</v>
      </c>
      <c r="B10" s="245"/>
      <c r="C10" s="245"/>
      <c r="D10" s="245"/>
      <c r="E10" s="245"/>
      <c r="F10" s="245"/>
      <c r="G10" s="246"/>
      <c r="H10" s="246"/>
      <c r="I10" s="246"/>
      <c r="J10" s="246"/>
      <c r="K10" s="246"/>
    </row>
    <row r="11" spans="1:14" ht="143.25" customHeight="1" x14ac:dyDescent="0.2">
      <c r="A11" s="218" t="s">
        <v>257</v>
      </c>
      <c r="B11" s="245"/>
      <c r="C11" s="245"/>
      <c r="D11" s="245"/>
      <c r="E11" s="245"/>
      <c r="F11" s="245"/>
      <c r="G11" s="246"/>
      <c r="H11" s="246"/>
      <c r="I11" s="246"/>
      <c r="J11" s="246"/>
      <c r="K11" s="246"/>
    </row>
    <row r="12" spans="1:14" ht="241.5" customHeight="1" x14ac:dyDescent="0.2">
      <c r="A12" s="218" t="s">
        <v>258</v>
      </c>
      <c r="B12" s="245"/>
      <c r="C12" s="245"/>
      <c r="D12" s="245"/>
      <c r="E12" s="245"/>
      <c r="F12" s="245"/>
      <c r="G12" s="246"/>
      <c r="H12" s="246"/>
      <c r="I12" s="246"/>
      <c r="J12" s="246"/>
      <c r="K12" s="246"/>
    </row>
    <row r="13" spans="1:14" ht="351.75" customHeight="1" x14ac:dyDescent="0.2">
      <c r="A13" s="218" t="s">
        <v>260</v>
      </c>
      <c r="B13" s="245" t="s">
        <v>454</v>
      </c>
      <c r="C13" s="245"/>
      <c r="D13" s="245"/>
      <c r="E13" s="245"/>
      <c r="F13" s="245"/>
      <c r="G13" s="247"/>
      <c r="H13" s="247"/>
      <c r="I13" s="247"/>
      <c r="J13" s="247"/>
      <c r="K13" s="247"/>
    </row>
    <row r="14" spans="1:14" ht="309" customHeight="1" x14ac:dyDescent="0.2">
      <c r="A14" s="218" t="s">
        <v>263</v>
      </c>
      <c r="B14" s="289"/>
      <c r="C14" s="289"/>
      <c r="D14" s="289"/>
      <c r="E14" s="289"/>
      <c r="F14" s="289"/>
      <c r="G14" s="246" t="s">
        <v>455</v>
      </c>
      <c r="H14" s="246"/>
      <c r="I14" s="246"/>
      <c r="J14" s="246"/>
      <c r="K14" s="246"/>
    </row>
    <row r="15" spans="1:14" ht="129.75" customHeight="1" x14ac:dyDescent="0.2">
      <c r="A15" s="218" t="s">
        <v>266</v>
      </c>
      <c r="B15" s="245"/>
      <c r="C15" s="245"/>
      <c r="D15" s="245"/>
      <c r="E15" s="245"/>
      <c r="F15" s="245"/>
      <c r="G15" s="247"/>
      <c r="H15" s="247"/>
      <c r="I15" s="247"/>
      <c r="J15" s="247"/>
      <c r="K15" s="247"/>
    </row>
    <row r="16" spans="1:14" ht="176.25" customHeight="1" x14ac:dyDescent="0.2">
      <c r="A16" s="218" t="s">
        <v>268</v>
      </c>
      <c r="B16" s="245"/>
      <c r="C16" s="245"/>
      <c r="D16" s="245"/>
      <c r="E16" s="245"/>
      <c r="F16" s="245"/>
      <c r="G16" s="247"/>
      <c r="H16" s="247"/>
      <c r="I16" s="247"/>
      <c r="J16" s="247"/>
      <c r="K16" s="247"/>
    </row>
    <row r="17" spans="1:11" ht="212.25" customHeight="1" x14ac:dyDescent="0.2">
      <c r="A17" s="218" t="s">
        <v>271</v>
      </c>
      <c r="B17" s="245"/>
      <c r="C17" s="245"/>
      <c r="D17" s="245"/>
      <c r="E17" s="245"/>
      <c r="F17" s="245"/>
      <c r="G17" s="247"/>
      <c r="H17" s="247"/>
      <c r="I17" s="247"/>
      <c r="J17" s="247"/>
      <c r="K17" s="247"/>
    </row>
    <row r="18" spans="1:11" ht="409.5" customHeight="1" x14ac:dyDescent="0.2">
      <c r="A18" s="218" t="s">
        <v>272</v>
      </c>
      <c r="B18" s="245" t="s">
        <v>456</v>
      </c>
      <c r="C18" s="245"/>
      <c r="D18" s="245"/>
      <c r="E18" s="245"/>
      <c r="F18" s="245"/>
      <c r="G18" s="247" t="s">
        <v>457</v>
      </c>
      <c r="H18" s="247"/>
      <c r="I18" s="247"/>
      <c r="J18" s="247"/>
      <c r="K18" s="247"/>
    </row>
    <row r="19" spans="1:11" ht="248.25" customHeight="1" x14ac:dyDescent="0.2">
      <c r="A19" s="219" t="s">
        <v>274</v>
      </c>
      <c r="B19" s="250" t="s">
        <v>458</v>
      </c>
      <c r="C19" s="250"/>
      <c r="D19" s="250"/>
      <c r="E19" s="250"/>
      <c r="F19" s="250"/>
      <c r="G19" s="251"/>
      <c r="H19" s="251"/>
      <c r="I19" s="251"/>
      <c r="J19" s="251"/>
      <c r="K19" s="251"/>
    </row>
    <row r="20" spans="1:11" ht="146.25" customHeight="1" x14ac:dyDescent="0.2">
      <c r="A20" s="219" t="s">
        <v>276</v>
      </c>
      <c r="B20" s="297"/>
      <c r="C20" s="297"/>
      <c r="D20" s="297"/>
      <c r="E20" s="297"/>
      <c r="F20" s="297"/>
      <c r="G20" s="298"/>
      <c r="H20" s="298"/>
      <c r="I20" s="298"/>
      <c r="J20" s="298"/>
      <c r="K20" s="298"/>
    </row>
    <row r="21" spans="1:11" ht="146.25" customHeight="1" x14ac:dyDescent="0.2">
      <c r="A21" s="219" t="s">
        <v>233</v>
      </c>
      <c r="B21" s="290" t="s">
        <v>447</v>
      </c>
      <c r="C21" s="290"/>
      <c r="D21" s="290"/>
      <c r="E21" s="290"/>
      <c r="F21" s="290"/>
      <c r="G21" s="254" t="s">
        <v>409</v>
      </c>
      <c r="H21" s="254"/>
      <c r="I21" s="254"/>
      <c r="J21" s="254"/>
      <c r="K21" s="254"/>
    </row>
    <row r="22" spans="1:11" ht="180" customHeight="1" x14ac:dyDescent="0.2">
      <c r="A22" s="219" t="s">
        <v>235</v>
      </c>
      <c r="B22" s="250"/>
      <c r="C22" s="250"/>
      <c r="D22" s="250"/>
      <c r="E22" s="250"/>
      <c r="F22" s="250"/>
      <c r="G22" s="251"/>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399</v>
      </c>
      <c r="B27" s="257"/>
      <c r="C27" s="257"/>
      <c r="D27" s="257"/>
      <c r="E27" s="257"/>
      <c r="F27" s="258" t="s">
        <v>400</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93" customHeight="1" x14ac:dyDescent="0.2">
      <c r="A32" s="257" t="s">
        <v>294</v>
      </c>
      <c r="B32" s="257"/>
      <c r="C32" s="257"/>
      <c r="D32" s="257"/>
      <c r="E32" s="257"/>
      <c r="F32" s="264" t="s">
        <v>295</v>
      </c>
      <c r="G32" s="264"/>
      <c r="H32" s="264"/>
      <c r="I32" s="264"/>
      <c r="J32" s="264"/>
    </row>
    <row r="33" spans="1:15" ht="118.5" customHeight="1" x14ac:dyDescent="0.2">
      <c r="A33" s="257" t="s">
        <v>296</v>
      </c>
      <c r="B33" s="257"/>
      <c r="C33" s="257"/>
      <c r="D33" s="257"/>
      <c r="E33" s="257"/>
      <c r="F33" s="264" t="s">
        <v>448</v>
      </c>
      <c r="G33" s="264"/>
      <c r="H33" s="264"/>
      <c r="I33" s="264"/>
      <c r="J33" s="264"/>
    </row>
    <row r="34" spans="1:15" ht="93" customHeight="1" x14ac:dyDescent="0.2">
      <c r="A34" s="257" t="s">
        <v>298</v>
      </c>
      <c r="B34" s="257"/>
      <c r="C34" s="257"/>
      <c r="D34" s="257"/>
      <c r="E34" s="257"/>
      <c r="F34" s="264" t="s">
        <v>404</v>
      </c>
      <c r="G34" s="264"/>
      <c r="H34" s="264"/>
      <c r="I34" s="264"/>
      <c r="J34" s="264"/>
    </row>
    <row r="35" spans="1:15" ht="93" customHeight="1" x14ac:dyDescent="0.2">
      <c r="A35" s="257" t="s">
        <v>405</v>
      </c>
      <c r="B35" s="257"/>
      <c r="C35" s="257"/>
      <c r="D35" s="257"/>
      <c r="E35" s="257"/>
      <c r="F35" s="264" t="s">
        <v>406</v>
      </c>
      <c r="G35" s="264"/>
      <c r="H35" s="264"/>
      <c r="I35" s="264"/>
      <c r="J35" s="264"/>
    </row>
    <row r="36" spans="1:15" ht="135" customHeight="1" x14ac:dyDescent="0.2">
      <c r="A36" s="263" t="s">
        <v>407</v>
      </c>
      <c r="B36" s="263"/>
      <c r="C36" s="263"/>
      <c r="D36" s="263"/>
      <c r="E36" s="263"/>
      <c r="F36" s="262" t="s">
        <v>408</v>
      </c>
      <c r="G36" s="262"/>
      <c r="H36" s="262"/>
      <c r="I36" s="262"/>
      <c r="J36" s="262"/>
    </row>
    <row r="38" spans="1:15" x14ac:dyDescent="0.2">
      <c r="A38" s="214" t="s">
        <v>304</v>
      </c>
    </row>
    <row r="39" spans="1:15" x14ac:dyDescent="0.2">
      <c r="A39" s="255" t="s">
        <v>305</v>
      </c>
      <c r="B39" s="255"/>
      <c r="C39" s="255"/>
      <c r="D39" s="255"/>
      <c r="E39" s="255"/>
      <c r="F39" s="265" t="s">
        <v>306</v>
      </c>
      <c r="G39" s="265"/>
      <c r="H39" s="266" t="s">
        <v>307</v>
      </c>
      <c r="I39" s="266"/>
      <c r="J39" s="266"/>
      <c r="K39" s="266"/>
      <c r="L39" s="266"/>
    </row>
    <row r="40" spans="1:15" ht="115.5" customHeight="1" x14ac:dyDescent="0.2">
      <c r="A40" s="270" t="s">
        <v>429</v>
      </c>
      <c r="B40" s="270"/>
      <c r="C40" s="270"/>
      <c r="D40" s="270"/>
      <c r="E40" s="270"/>
      <c r="F40" s="293" t="s">
        <v>430</v>
      </c>
      <c r="G40" s="293"/>
      <c r="H40" s="258" t="s">
        <v>449</v>
      </c>
      <c r="I40" s="258"/>
      <c r="J40" s="258"/>
      <c r="K40" s="258"/>
      <c r="L40" s="258"/>
    </row>
    <row r="41" spans="1:15" ht="115.5" customHeight="1" x14ac:dyDescent="0.2">
      <c r="A41" s="272" t="s">
        <v>432</v>
      </c>
      <c r="B41" s="272"/>
      <c r="C41" s="272"/>
      <c r="D41" s="272"/>
      <c r="E41" s="272"/>
      <c r="F41" s="294" t="s">
        <v>433</v>
      </c>
      <c r="G41" s="294"/>
      <c r="H41" s="274" t="s">
        <v>459</v>
      </c>
      <c r="I41" s="274"/>
      <c r="J41" s="274"/>
      <c r="K41" s="274"/>
      <c r="L41" s="274"/>
    </row>
    <row r="42" spans="1:15" ht="115.5" customHeight="1" x14ac:dyDescent="0.2">
      <c r="A42" s="267" t="s">
        <v>434</v>
      </c>
      <c r="B42" s="267"/>
      <c r="C42" s="267"/>
      <c r="D42" s="267"/>
      <c r="E42" s="267"/>
      <c r="F42" s="295" t="s">
        <v>435</v>
      </c>
      <c r="G42" s="295"/>
      <c r="H42" s="275" t="s">
        <v>460</v>
      </c>
      <c r="I42" s="275"/>
      <c r="J42" s="275"/>
      <c r="K42" s="275"/>
      <c r="L42" s="275"/>
    </row>
    <row r="43" spans="1:15" ht="24.75" customHeight="1" x14ac:dyDescent="0.2">
      <c r="O43" s="231"/>
    </row>
    <row r="44" spans="1:15" ht="24.75" customHeight="1" x14ac:dyDescent="0.2">
      <c r="A44" s="214" t="s">
        <v>311</v>
      </c>
      <c r="O44" s="231"/>
    </row>
    <row r="45" spans="1:15" ht="24.75" customHeight="1" x14ac:dyDescent="0.2">
      <c r="A45" s="255" t="s">
        <v>305</v>
      </c>
      <c r="B45" s="255"/>
      <c r="C45" s="255"/>
      <c r="D45" s="255"/>
      <c r="E45" s="255"/>
      <c r="F45" s="265" t="s">
        <v>306</v>
      </c>
      <c r="G45" s="265"/>
      <c r="H45" s="266" t="s">
        <v>312</v>
      </c>
      <c r="I45" s="266"/>
      <c r="J45" s="266"/>
      <c r="K45" s="266"/>
      <c r="L45" s="266"/>
      <c r="O45" s="231"/>
    </row>
    <row r="46" spans="1:15" ht="115.5" customHeight="1" x14ac:dyDescent="0.2">
      <c r="A46" s="270"/>
      <c r="B46" s="270"/>
      <c r="C46" s="270"/>
      <c r="D46" s="270"/>
      <c r="E46" s="270"/>
      <c r="F46" s="293"/>
      <c r="G46" s="293"/>
      <c r="H46" s="258"/>
      <c r="I46" s="258"/>
      <c r="J46" s="258"/>
      <c r="K46" s="258"/>
      <c r="L46" s="258"/>
    </row>
    <row r="47" spans="1:15" ht="115.5" customHeight="1" x14ac:dyDescent="0.2">
      <c r="A47" s="272"/>
      <c r="B47" s="272"/>
      <c r="C47" s="272"/>
      <c r="D47" s="272"/>
      <c r="E47" s="272"/>
      <c r="F47" s="294"/>
      <c r="G47" s="294"/>
      <c r="H47" s="274"/>
      <c r="I47" s="274"/>
      <c r="J47" s="274"/>
      <c r="K47" s="274"/>
      <c r="L47" s="274"/>
    </row>
    <row r="48" spans="1:15" ht="115.5" customHeight="1" x14ac:dyDescent="0.2">
      <c r="A48" s="267"/>
      <c r="B48" s="267"/>
      <c r="C48" s="267"/>
      <c r="D48" s="267"/>
      <c r="E48" s="267"/>
      <c r="F48" s="295"/>
      <c r="G48" s="295"/>
      <c r="H48" s="275"/>
      <c r="I48" s="275"/>
      <c r="J48" s="275"/>
      <c r="K48" s="275"/>
      <c r="L48" s="275"/>
    </row>
    <row r="50" spans="1:15" ht="24.75" customHeight="1" x14ac:dyDescent="0.2">
      <c r="A50" s="214" t="s">
        <v>320</v>
      </c>
      <c r="O50" s="231"/>
    </row>
    <row r="51" spans="1:15" ht="24.75" customHeight="1" x14ac:dyDescent="0.2">
      <c r="A51" s="276" t="s">
        <v>305</v>
      </c>
      <c r="B51" s="276"/>
      <c r="C51" s="276"/>
      <c r="D51" s="276"/>
      <c r="E51" s="276"/>
      <c r="F51" s="277" t="s">
        <v>321</v>
      </c>
      <c r="G51" s="277"/>
      <c r="H51" s="278" t="s">
        <v>322</v>
      </c>
      <c r="I51" s="278"/>
      <c r="J51" s="279" t="s">
        <v>323</v>
      </c>
      <c r="K51" s="279"/>
      <c r="L51" s="279"/>
      <c r="M51" s="279"/>
      <c r="N51" s="279"/>
      <c r="O51" s="231"/>
    </row>
    <row r="52" spans="1:15" ht="66.75" customHeight="1" x14ac:dyDescent="0.2">
      <c r="A52" s="280" t="s">
        <v>348</v>
      </c>
      <c r="B52" s="280"/>
      <c r="C52" s="280"/>
      <c r="D52" s="280"/>
      <c r="E52" s="280"/>
      <c r="F52" s="281" t="s">
        <v>349</v>
      </c>
      <c r="G52" s="281"/>
      <c r="H52" s="282" t="s">
        <v>410</v>
      </c>
      <c r="I52" s="282"/>
      <c r="J52" s="283" t="s">
        <v>450</v>
      </c>
      <c r="K52" s="283"/>
      <c r="L52" s="283"/>
      <c r="M52" s="283"/>
      <c r="N52" s="283"/>
    </row>
    <row r="53" spans="1:15" ht="66.75" customHeight="1" x14ac:dyDescent="0.2">
      <c r="A53" s="257" t="s">
        <v>429</v>
      </c>
      <c r="B53" s="257"/>
      <c r="C53" s="257"/>
      <c r="D53" s="257"/>
      <c r="E53" s="257"/>
      <c r="F53" s="291" t="s">
        <v>430</v>
      </c>
      <c r="G53" s="291"/>
      <c r="H53" s="296" t="s">
        <v>451</v>
      </c>
      <c r="I53" s="296"/>
      <c r="J53" s="258" t="s">
        <v>452</v>
      </c>
      <c r="K53" s="258"/>
      <c r="L53" s="258"/>
      <c r="M53" s="258"/>
      <c r="N53" s="258"/>
    </row>
    <row r="54" spans="1:15" ht="24.75" customHeight="1" x14ac:dyDescent="0.2">
      <c r="A54" s="257" t="s">
        <v>432</v>
      </c>
      <c r="B54" s="257"/>
      <c r="C54" s="257"/>
      <c r="D54" s="257"/>
      <c r="E54" s="257"/>
      <c r="F54" s="291" t="s">
        <v>433</v>
      </c>
      <c r="G54" s="291"/>
      <c r="H54" s="296" t="s">
        <v>451</v>
      </c>
      <c r="I54" s="296"/>
      <c r="J54" s="258"/>
      <c r="K54" s="258"/>
      <c r="L54" s="258"/>
      <c r="M54" s="258"/>
      <c r="N54" s="258"/>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100">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51:E51"/>
    <mergeCell ref="F51:G51"/>
    <mergeCell ref="H51:I51"/>
    <mergeCell ref="J51:N51"/>
    <mergeCell ref="A52:E52"/>
    <mergeCell ref="F52:G52"/>
    <mergeCell ref="H52:I52"/>
    <mergeCell ref="J52:N52"/>
    <mergeCell ref="A47:E47"/>
    <mergeCell ref="F47:G47"/>
    <mergeCell ref="H47:L47"/>
    <mergeCell ref="A48:E48"/>
    <mergeCell ref="F48:G48"/>
    <mergeCell ref="H48:L48"/>
    <mergeCell ref="A45:E45"/>
    <mergeCell ref="F45:G45"/>
    <mergeCell ref="H45:L45"/>
    <mergeCell ref="A46:E46"/>
    <mergeCell ref="F46:G46"/>
    <mergeCell ref="H46:L46"/>
    <mergeCell ref="A41:E41"/>
    <mergeCell ref="F41:G41"/>
    <mergeCell ref="H41:L41"/>
    <mergeCell ref="A42:E42"/>
    <mergeCell ref="F42:G42"/>
    <mergeCell ref="H42:L42"/>
    <mergeCell ref="A39:E39"/>
    <mergeCell ref="F39:G39"/>
    <mergeCell ref="H39:L39"/>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G14:K14"/>
    <mergeCell ref="B15:F15"/>
    <mergeCell ref="G15:K15"/>
    <mergeCell ref="B16:F16"/>
    <mergeCell ref="G16:K16"/>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O59"/>
  <sheetViews>
    <sheetView zoomScaleNormal="100" workbookViewId="0">
      <selection activeCell="G13" sqref="G13:K13"/>
    </sheetView>
  </sheetViews>
  <sheetFormatPr defaultColWidth="8.85546875" defaultRowHeight="12.75" x14ac:dyDescent="0.2"/>
  <cols>
    <col min="1" max="1" width="14.42578125" customWidth="1"/>
    <col min="2" max="2" width="22.85546875" customWidth="1"/>
    <col min="3" max="1025" width="8.85546875" customWidth="1"/>
  </cols>
  <sheetData>
    <row r="2" spans="1:14" x14ac:dyDescent="0.2">
      <c r="A2" s="133" t="s">
        <v>1</v>
      </c>
      <c r="B2" s="134"/>
    </row>
    <row r="3" spans="1:14" x14ac:dyDescent="0.2">
      <c r="A3" s="212" t="s">
        <v>3</v>
      </c>
      <c r="B3" s="213" t="str">
        <f>Metrics!B3</f>
        <v>Tier-1</v>
      </c>
    </row>
    <row r="4" spans="1:14" x14ac:dyDescent="0.2">
      <c r="A4" s="9" t="s">
        <v>6</v>
      </c>
      <c r="B4" s="10" t="str">
        <f>Metrics!B4</f>
        <v>Q418</v>
      </c>
    </row>
    <row r="5" spans="1:14" x14ac:dyDescent="0.2">
      <c r="A5" s="16" t="s">
        <v>9</v>
      </c>
      <c r="B5" s="17" t="str">
        <f>Metrics!B5</f>
        <v>Darren Moore</v>
      </c>
    </row>
    <row r="7" spans="1:14" x14ac:dyDescent="0.2">
      <c r="A7" s="214" t="s">
        <v>251</v>
      </c>
    </row>
    <row r="8" spans="1:14" ht="16.5" customHeight="1" x14ac:dyDescent="0.2">
      <c r="A8" s="215" t="s">
        <v>216</v>
      </c>
      <c r="B8" s="241" t="s">
        <v>252</v>
      </c>
      <c r="C8" s="241"/>
      <c r="D8" s="241"/>
      <c r="E8" s="241"/>
      <c r="F8" s="241"/>
      <c r="G8" s="242" t="s">
        <v>253</v>
      </c>
      <c r="H8" s="242"/>
      <c r="I8" s="242"/>
      <c r="J8" s="242"/>
      <c r="K8" s="242"/>
    </row>
    <row r="9" spans="1:14" ht="122.25" customHeight="1" x14ac:dyDescent="0.2">
      <c r="A9" s="216" t="s">
        <v>254</v>
      </c>
      <c r="B9" s="243" t="s">
        <v>473</v>
      </c>
      <c r="C9" s="243"/>
      <c r="D9" s="243"/>
      <c r="E9" s="243"/>
      <c r="F9" s="243"/>
      <c r="G9" s="244"/>
      <c r="H9" s="244"/>
      <c r="I9" s="244"/>
      <c r="J9" s="244"/>
      <c r="K9" s="244"/>
      <c r="N9" s="217"/>
    </row>
    <row r="10" spans="1:14" ht="217.5" customHeight="1" x14ac:dyDescent="0.2">
      <c r="A10" s="218" t="s">
        <v>229</v>
      </c>
      <c r="B10" s="245" t="s">
        <v>475</v>
      </c>
      <c r="C10" s="245"/>
      <c r="D10" s="245"/>
      <c r="E10" s="245"/>
      <c r="F10" s="245"/>
      <c r="G10" s="246"/>
      <c r="H10" s="246"/>
      <c r="I10" s="246"/>
      <c r="J10" s="246"/>
      <c r="K10" s="246"/>
    </row>
    <row r="11" spans="1:14" ht="143.25" customHeight="1" x14ac:dyDescent="0.2">
      <c r="A11" s="218" t="s">
        <v>257</v>
      </c>
      <c r="B11" s="245"/>
      <c r="C11" s="245"/>
      <c r="D11" s="245"/>
      <c r="E11" s="245"/>
      <c r="F11" s="245"/>
      <c r="G11" s="246"/>
      <c r="H11" s="246"/>
      <c r="I11" s="246"/>
      <c r="J11" s="246"/>
      <c r="K11" s="246"/>
    </row>
    <row r="12" spans="1:14" ht="241.5" customHeight="1" x14ac:dyDescent="0.2">
      <c r="A12" s="218" t="s">
        <v>258</v>
      </c>
      <c r="B12" s="245"/>
      <c r="C12" s="245"/>
      <c r="D12" s="245"/>
      <c r="E12" s="245"/>
      <c r="F12" s="245"/>
      <c r="G12" s="246"/>
      <c r="H12" s="246"/>
      <c r="I12" s="246"/>
      <c r="J12" s="246"/>
      <c r="K12" s="246"/>
    </row>
    <row r="13" spans="1:14" ht="351.75" customHeight="1" x14ac:dyDescent="0.2">
      <c r="A13" s="218" t="s">
        <v>260</v>
      </c>
      <c r="B13" s="245"/>
      <c r="C13" s="245"/>
      <c r="D13" s="245"/>
      <c r="E13" s="245"/>
      <c r="F13" s="245"/>
      <c r="G13" s="247"/>
      <c r="H13" s="247"/>
      <c r="I13" s="247"/>
      <c r="J13" s="247"/>
      <c r="K13" s="247"/>
    </row>
    <row r="14" spans="1:14" ht="309" customHeight="1" x14ac:dyDescent="0.2">
      <c r="A14" s="218" t="s">
        <v>263</v>
      </c>
      <c r="B14" s="289" t="s">
        <v>474</v>
      </c>
      <c r="C14" s="289"/>
      <c r="D14" s="289"/>
      <c r="E14" s="289"/>
      <c r="F14" s="289"/>
      <c r="G14" s="247" t="s">
        <v>476</v>
      </c>
      <c r="H14" s="247"/>
      <c r="I14" s="247"/>
      <c r="J14" s="247"/>
      <c r="K14" s="247"/>
    </row>
    <row r="15" spans="1:14" ht="129.75" customHeight="1" x14ac:dyDescent="0.2">
      <c r="A15" s="218" t="s">
        <v>266</v>
      </c>
      <c r="B15" s="245"/>
      <c r="C15" s="245"/>
      <c r="D15" s="245"/>
      <c r="E15" s="245"/>
      <c r="F15" s="245"/>
      <c r="G15" s="247"/>
      <c r="H15" s="247"/>
      <c r="I15" s="247"/>
      <c r="J15" s="247"/>
      <c r="K15" s="247"/>
    </row>
    <row r="16" spans="1:14" ht="176.25" customHeight="1" x14ac:dyDescent="0.2">
      <c r="A16" s="218" t="s">
        <v>268</v>
      </c>
      <c r="B16" s="245"/>
      <c r="C16" s="245"/>
      <c r="D16" s="245"/>
      <c r="E16" s="245"/>
      <c r="F16" s="245"/>
    </row>
    <row r="17" spans="1:11" ht="212.25" customHeight="1" x14ac:dyDescent="0.2">
      <c r="A17" s="218" t="s">
        <v>271</v>
      </c>
      <c r="B17" s="245"/>
      <c r="C17" s="245"/>
      <c r="D17" s="245"/>
      <c r="E17" s="245"/>
      <c r="F17" s="245"/>
      <c r="G17" s="247"/>
      <c r="H17" s="247"/>
      <c r="I17" s="247"/>
      <c r="J17" s="247"/>
      <c r="K17" s="247"/>
    </row>
    <row r="18" spans="1:11" ht="409.5" customHeight="1" x14ac:dyDescent="0.2">
      <c r="A18" s="218" t="s">
        <v>272</v>
      </c>
      <c r="B18" s="245"/>
      <c r="C18" s="245"/>
      <c r="D18" s="245"/>
      <c r="E18" s="245"/>
      <c r="F18" s="245"/>
      <c r="G18" s="247"/>
      <c r="H18" s="247"/>
      <c r="I18" s="247"/>
      <c r="J18" s="247"/>
      <c r="K18" s="247"/>
    </row>
    <row r="19" spans="1:11" ht="248.25" customHeight="1" x14ac:dyDescent="0.2">
      <c r="A19" s="219" t="s">
        <v>274</v>
      </c>
      <c r="B19" s="250"/>
      <c r="C19" s="250"/>
      <c r="D19" s="250"/>
      <c r="E19" s="250"/>
      <c r="F19" s="250"/>
      <c r="G19" s="251"/>
      <c r="H19" s="251"/>
      <c r="I19" s="251"/>
      <c r="J19" s="251"/>
      <c r="K19" s="251"/>
    </row>
    <row r="20" spans="1:11" ht="146.25" customHeight="1" x14ac:dyDescent="0.2">
      <c r="A20" s="219" t="s">
        <v>276</v>
      </c>
      <c r="B20" s="297"/>
      <c r="C20" s="297"/>
      <c r="D20" s="297"/>
      <c r="E20" s="297"/>
      <c r="F20" s="297"/>
      <c r="G20" s="298"/>
      <c r="H20" s="298"/>
      <c r="I20" s="298"/>
      <c r="J20" s="298"/>
      <c r="K20" s="298"/>
    </row>
    <row r="21" spans="1:11" ht="146.25" customHeight="1" x14ac:dyDescent="0.2">
      <c r="A21" s="219" t="s">
        <v>233</v>
      </c>
      <c r="B21" s="290" t="s">
        <v>447</v>
      </c>
      <c r="C21" s="290"/>
      <c r="D21" s="290"/>
      <c r="E21" s="290"/>
      <c r="F21" s="290"/>
      <c r="G21" s="254" t="s">
        <v>409</v>
      </c>
      <c r="H21" s="254"/>
      <c r="I21" s="254"/>
      <c r="J21" s="254"/>
      <c r="K21" s="254"/>
    </row>
    <row r="22" spans="1:11" ht="180" customHeight="1" x14ac:dyDescent="0.2">
      <c r="A22" s="219" t="s">
        <v>235</v>
      </c>
      <c r="B22" s="250"/>
      <c r="C22" s="250"/>
      <c r="D22" s="250"/>
      <c r="E22" s="250"/>
      <c r="F22" s="250"/>
      <c r="G22" s="251"/>
      <c r="H22" s="251"/>
      <c r="I22" s="251"/>
      <c r="J22" s="251"/>
      <c r="K22" s="251"/>
    </row>
    <row r="23" spans="1:11" x14ac:dyDescent="0.2">
      <c r="A23" t="s">
        <v>281</v>
      </c>
    </row>
    <row r="25" spans="1:11" x14ac:dyDescent="0.2">
      <c r="A25" s="214" t="s">
        <v>282</v>
      </c>
    </row>
    <row r="26" spans="1:11" x14ac:dyDescent="0.2">
      <c r="A26" s="255" t="s">
        <v>283</v>
      </c>
      <c r="B26" s="255"/>
      <c r="C26" s="255"/>
      <c r="D26" s="255"/>
      <c r="E26" s="255"/>
      <c r="F26" s="256" t="s">
        <v>284</v>
      </c>
      <c r="G26" s="256"/>
      <c r="H26" s="256"/>
      <c r="I26" s="256"/>
      <c r="J26" s="256"/>
    </row>
    <row r="27" spans="1:11" ht="81" customHeight="1" x14ac:dyDescent="0.2">
      <c r="A27" s="257" t="s">
        <v>399</v>
      </c>
      <c r="B27" s="257"/>
      <c r="C27" s="257"/>
      <c r="D27" s="257"/>
      <c r="E27" s="257"/>
      <c r="F27" s="258" t="s">
        <v>400</v>
      </c>
      <c r="G27" s="258"/>
      <c r="H27" s="258"/>
      <c r="I27" s="258"/>
      <c r="J27" s="258"/>
    </row>
    <row r="28" spans="1:11" x14ac:dyDescent="0.2">
      <c r="A28" s="259"/>
      <c r="B28" s="259"/>
      <c r="C28" s="259"/>
      <c r="D28" s="259"/>
      <c r="E28" s="259"/>
      <c r="F28" s="260"/>
      <c r="G28" s="260"/>
      <c r="H28" s="260"/>
      <c r="I28" s="260"/>
      <c r="J28" s="260"/>
    </row>
    <row r="30" spans="1:11" x14ac:dyDescent="0.2">
      <c r="A30" s="214" t="s">
        <v>287</v>
      </c>
    </row>
    <row r="31" spans="1:11" x14ac:dyDescent="0.2">
      <c r="A31" s="255" t="s">
        <v>283</v>
      </c>
      <c r="B31" s="255"/>
      <c r="C31" s="255"/>
      <c r="D31" s="255"/>
      <c r="E31" s="255"/>
      <c r="F31" s="256" t="s">
        <v>284</v>
      </c>
      <c r="G31" s="256"/>
      <c r="H31" s="256"/>
      <c r="I31" s="256"/>
      <c r="J31" s="256"/>
    </row>
    <row r="32" spans="1:11" ht="93" customHeight="1" x14ac:dyDescent="0.2">
      <c r="A32" s="257" t="s">
        <v>294</v>
      </c>
      <c r="B32" s="257"/>
      <c r="C32" s="257"/>
      <c r="D32" s="257"/>
      <c r="E32" s="257"/>
      <c r="F32" s="264" t="s">
        <v>295</v>
      </c>
      <c r="G32" s="264"/>
      <c r="H32" s="264"/>
      <c r="I32" s="264"/>
      <c r="J32" s="264"/>
    </row>
    <row r="33" spans="1:15" ht="118.5" customHeight="1" x14ac:dyDescent="0.2">
      <c r="A33" s="257" t="s">
        <v>296</v>
      </c>
      <c r="B33" s="257"/>
      <c r="C33" s="257"/>
      <c r="D33" s="257"/>
      <c r="E33" s="257"/>
      <c r="F33" s="264" t="s">
        <v>448</v>
      </c>
      <c r="G33" s="264"/>
      <c r="H33" s="264"/>
      <c r="I33" s="264"/>
      <c r="J33" s="264"/>
    </row>
    <row r="34" spans="1:15" ht="93" customHeight="1" x14ac:dyDescent="0.2">
      <c r="A34" s="257" t="s">
        <v>298</v>
      </c>
      <c r="B34" s="257"/>
      <c r="C34" s="257"/>
      <c r="D34" s="257"/>
      <c r="E34" s="257"/>
      <c r="F34" s="264" t="s">
        <v>404</v>
      </c>
      <c r="G34" s="264"/>
      <c r="H34" s="264"/>
      <c r="I34" s="264"/>
      <c r="J34" s="264"/>
    </row>
    <row r="35" spans="1:15" ht="93" customHeight="1" x14ac:dyDescent="0.2">
      <c r="A35" s="257" t="s">
        <v>405</v>
      </c>
      <c r="B35" s="257"/>
      <c r="C35" s="257"/>
      <c r="D35" s="257"/>
      <c r="E35" s="257"/>
      <c r="F35" s="264" t="s">
        <v>406</v>
      </c>
      <c r="G35" s="264"/>
      <c r="H35" s="264"/>
      <c r="I35" s="264"/>
      <c r="J35" s="264"/>
    </row>
    <row r="36" spans="1:15" ht="135" customHeight="1" x14ac:dyDescent="0.2">
      <c r="A36" s="263" t="s">
        <v>407</v>
      </c>
      <c r="B36" s="263"/>
      <c r="C36" s="263"/>
      <c r="D36" s="263"/>
      <c r="E36" s="263"/>
      <c r="F36" s="262" t="s">
        <v>408</v>
      </c>
      <c r="G36" s="262"/>
      <c r="H36" s="262"/>
      <c r="I36" s="262"/>
      <c r="J36" s="262"/>
    </row>
    <row r="38" spans="1:15" x14ac:dyDescent="0.2">
      <c r="A38" s="214" t="s">
        <v>304</v>
      </c>
    </row>
    <row r="39" spans="1:15" x14ac:dyDescent="0.2">
      <c r="A39" s="255" t="s">
        <v>305</v>
      </c>
      <c r="B39" s="255"/>
      <c r="C39" s="255"/>
      <c r="D39" s="255"/>
      <c r="E39" s="255"/>
      <c r="F39" s="265" t="s">
        <v>306</v>
      </c>
      <c r="G39" s="265"/>
      <c r="H39" s="266" t="s">
        <v>307</v>
      </c>
      <c r="I39" s="266"/>
      <c r="J39" s="266"/>
      <c r="K39" s="266"/>
      <c r="L39" s="266"/>
    </row>
    <row r="40" spans="1:15" ht="115.5" customHeight="1" x14ac:dyDescent="0.2">
      <c r="A40" s="270" t="s">
        <v>429</v>
      </c>
      <c r="B40" s="270"/>
      <c r="C40" s="270"/>
      <c r="D40" s="270"/>
      <c r="E40" s="270"/>
      <c r="F40" s="293" t="s">
        <v>430</v>
      </c>
      <c r="G40" s="293"/>
      <c r="H40" s="258" t="s">
        <v>449</v>
      </c>
      <c r="I40" s="258"/>
      <c r="J40" s="258"/>
      <c r="K40" s="258"/>
      <c r="L40" s="258"/>
    </row>
    <row r="41" spans="1:15" ht="115.5" customHeight="1" x14ac:dyDescent="0.2">
      <c r="A41" s="272" t="s">
        <v>432</v>
      </c>
      <c r="B41" s="272"/>
      <c r="C41" s="272"/>
      <c r="D41" s="272"/>
      <c r="E41" s="272"/>
      <c r="F41" s="294" t="s">
        <v>433</v>
      </c>
      <c r="G41" s="294"/>
      <c r="H41" s="274" t="s">
        <v>459</v>
      </c>
      <c r="I41" s="274"/>
      <c r="J41" s="274"/>
      <c r="K41" s="274"/>
      <c r="L41" s="274"/>
    </row>
    <row r="42" spans="1:15" ht="115.5" customHeight="1" x14ac:dyDescent="0.2">
      <c r="A42" s="267" t="s">
        <v>434</v>
      </c>
      <c r="B42" s="267"/>
      <c r="C42" s="267"/>
      <c r="D42" s="267"/>
      <c r="E42" s="267"/>
      <c r="F42" s="295" t="s">
        <v>435</v>
      </c>
      <c r="G42" s="295"/>
      <c r="H42" s="275" t="s">
        <v>460</v>
      </c>
      <c r="I42" s="275"/>
      <c r="J42" s="275"/>
      <c r="K42" s="275"/>
      <c r="L42" s="275"/>
    </row>
    <row r="43" spans="1:15" ht="24.75" customHeight="1" x14ac:dyDescent="0.2">
      <c r="O43" s="231"/>
    </row>
    <row r="44" spans="1:15" ht="24.75" customHeight="1" x14ac:dyDescent="0.2">
      <c r="A44" s="214" t="s">
        <v>311</v>
      </c>
      <c r="O44" s="231"/>
    </row>
    <row r="45" spans="1:15" ht="24.75" customHeight="1" x14ac:dyDescent="0.2">
      <c r="A45" s="255" t="s">
        <v>305</v>
      </c>
      <c r="B45" s="255"/>
      <c r="C45" s="255"/>
      <c r="D45" s="255"/>
      <c r="E45" s="255"/>
      <c r="F45" s="265" t="s">
        <v>306</v>
      </c>
      <c r="G45" s="265"/>
      <c r="H45" s="266" t="s">
        <v>312</v>
      </c>
      <c r="I45" s="266"/>
      <c r="J45" s="266"/>
      <c r="K45" s="266"/>
      <c r="L45" s="266"/>
      <c r="O45" s="231"/>
    </row>
    <row r="46" spans="1:15" ht="115.5" customHeight="1" x14ac:dyDescent="0.2">
      <c r="A46" s="270"/>
      <c r="B46" s="270"/>
      <c r="C46" s="270"/>
      <c r="D46" s="270"/>
      <c r="E46" s="270"/>
      <c r="F46" s="293"/>
      <c r="G46" s="293"/>
      <c r="H46" s="258"/>
      <c r="I46" s="258"/>
      <c r="J46" s="258"/>
      <c r="K46" s="258"/>
      <c r="L46" s="258"/>
    </row>
    <row r="47" spans="1:15" ht="115.5" customHeight="1" x14ac:dyDescent="0.2">
      <c r="A47" s="272"/>
      <c r="B47" s="272"/>
      <c r="C47" s="272"/>
      <c r="D47" s="272"/>
      <c r="E47" s="272"/>
      <c r="F47" s="294"/>
      <c r="G47" s="294"/>
      <c r="H47" s="274"/>
      <c r="I47" s="274"/>
      <c r="J47" s="274"/>
      <c r="K47" s="274"/>
      <c r="L47" s="274"/>
    </row>
    <row r="48" spans="1:15" ht="115.5" customHeight="1" x14ac:dyDescent="0.2">
      <c r="A48" s="267"/>
      <c r="B48" s="267"/>
      <c r="C48" s="267"/>
      <c r="D48" s="267"/>
      <c r="E48" s="267"/>
      <c r="F48" s="295"/>
      <c r="G48" s="295"/>
      <c r="H48" s="275"/>
      <c r="I48" s="275"/>
      <c r="J48" s="275"/>
      <c r="K48" s="275"/>
      <c r="L48" s="275"/>
    </row>
    <row r="50" spans="1:15" ht="24.75" customHeight="1" x14ac:dyDescent="0.2">
      <c r="A50" s="214" t="s">
        <v>320</v>
      </c>
      <c r="O50" s="231"/>
    </row>
    <row r="51" spans="1:15" ht="24.75" customHeight="1" x14ac:dyDescent="0.2">
      <c r="A51" s="276" t="s">
        <v>305</v>
      </c>
      <c r="B51" s="276"/>
      <c r="C51" s="276"/>
      <c r="D51" s="276"/>
      <c r="E51" s="276"/>
      <c r="F51" s="277" t="s">
        <v>321</v>
      </c>
      <c r="G51" s="277"/>
      <c r="H51" s="278" t="s">
        <v>322</v>
      </c>
      <c r="I51" s="278"/>
      <c r="J51" s="279" t="s">
        <v>323</v>
      </c>
      <c r="K51" s="279"/>
      <c r="L51" s="279"/>
      <c r="M51" s="279"/>
      <c r="N51" s="279"/>
      <c r="O51" s="231"/>
    </row>
    <row r="52" spans="1:15" ht="66.75" customHeight="1" x14ac:dyDescent="0.2">
      <c r="A52" s="280" t="s">
        <v>348</v>
      </c>
      <c r="B52" s="280"/>
      <c r="C52" s="280"/>
      <c r="D52" s="280"/>
      <c r="E52" s="280"/>
      <c r="F52" s="281" t="s">
        <v>349</v>
      </c>
      <c r="G52" s="281"/>
      <c r="H52" s="282" t="s">
        <v>410</v>
      </c>
      <c r="I52" s="282"/>
      <c r="J52" s="283" t="s">
        <v>450</v>
      </c>
      <c r="K52" s="283"/>
      <c r="L52" s="283"/>
      <c r="M52" s="283"/>
      <c r="N52" s="283"/>
    </row>
    <row r="53" spans="1:15" ht="66.75" customHeight="1" x14ac:dyDescent="0.2">
      <c r="A53" s="257" t="s">
        <v>429</v>
      </c>
      <c r="B53" s="257"/>
      <c r="C53" s="257"/>
      <c r="D53" s="257"/>
      <c r="E53" s="257"/>
      <c r="F53" s="291" t="s">
        <v>430</v>
      </c>
      <c r="G53" s="291"/>
      <c r="H53" s="296" t="s">
        <v>451</v>
      </c>
      <c r="I53" s="296"/>
      <c r="J53" s="258" t="s">
        <v>452</v>
      </c>
      <c r="K53" s="258"/>
      <c r="L53" s="258"/>
      <c r="M53" s="258"/>
      <c r="N53" s="258"/>
    </row>
    <row r="54" spans="1:15" ht="24.75" customHeight="1" x14ac:dyDescent="0.2">
      <c r="A54" s="257" t="s">
        <v>432</v>
      </c>
      <c r="B54" s="257"/>
      <c r="C54" s="257"/>
      <c r="D54" s="257"/>
      <c r="E54" s="257"/>
      <c r="F54" s="291" t="s">
        <v>433</v>
      </c>
      <c r="G54" s="291"/>
      <c r="H54" s="296" t="s">
        <v>451</v>
      </c>
      <c r="I54" s="296"/>
      <c r="J54" s="258"/>
      <c r="K54" s="258"/>
      <c r="L54" s="258"/>
      <c r="M54" s="258"/>
      <c r="N54" s="258"/>
    </row>
    <row r="55" spans="1:15" x14ac:dyDescent="0.2">
      <c r="A55" s="214" t="s">
        <v>328</v>
      </c>
    </row>
    <row r="56" spans="1:15" x14ac:dyDescent="0.2">
      <c r="A56" s="255" t="s">
        <v>305</v>
      </c>
      <c r="B56" s="255"/>
      <c r="C56" s="255"/>
      <c r="D56" s="255"/>
      <c r="E56" s="255"/>
      <c r="F56" s="265" t="s">
        <v>306</v>
      </c>
      <c r="G56" s="265"/>
      <c r="H56" s="266" t="s">
        <v>307</v>
      </c>
      <c r="I56" s="266"/>
      <c r="J56" s="266"/>
      <c r="K56" s="266"/>
      <c r="L56" s="266"/>
    </row>
    <row r="57" spans="1:15" ht="13.5" customHeight="1" x14ac:dyDescent="0.2">
      <c r="A57" s="261"/>
      <c r="B57" s="261"/>
      <c r="C57" s="261"/>
      <c r="D57" s="261"/>
      <c r="E57" s="261"/>
      <c r="F57" s="288"/>
      <c r="G57" s="288"/>
      <c r="H57" s="262"/>
      <c r="I57" s="262"/>
      <c r="J57" s="262"/>
      <c r="K57" s="262"/>
      <c r="L57" s="262"/>
    </row>
    <row r="58" spans="1:15" ht="32.25" customHeight="1" x14ac:dyDescent="0.2">
      <c r="A58" s="261"/>
      <c r="B58" s="261"/>
      <c r="C58" s="261"/>
      <c r="D58" s="261"/>
      <c r="E58" s="261"/>
      <c r="F58" s="288"/>
      <c r="G58" s="288"/>
      <c r="H58" s="262"/>
      <c r="I58" s="262"/>
      <c r="J58" s="262"/>
      <c r="K58" s="262"/>
      <c r="L58" s="262"/>
    </row>
    <row r="59" spans="1:15" x14ac:dyDescent="0.2">
      <c r="A59" s="261"/>
      <c r="B59" s="261"/>
      <c r="C59" s="261"/>
      <c r="D59" s="261"/>
      <c r="E59" s="261"/>
      <c r="F59" s="288"/>
      <c r="G59" s="288"/>
      <c r="H59" s="262"/>
      <c r="I59" s="262"/>
      <c r="J59" s="262"/>
      <c r="K59" s="262"/>
      <c r="L59" s="262"/>
    </row>
  </sheetData>
  <mergeCells count="99">
    <mergeCell ref="A58:E58"/>
    <mergeCell ref="F58:G58"/>
    <mergeCell ref="H58:L58"/>
    <mergeCell ref="A59:E59"/>
    <mergeCell ref="F59:G59"/>
    <mergeCell ref="H59:L59"/>
    <mergeCell ref="A56:E56"/>
    <mergeCell ref="F56:G56"/>
    <mergeCell ref="H56:L56"/>
    <mergeCell ref="A57:E57"/>
    <mergeCell ref="F57:G57"/>
    <mergeCell ref="H57:L57"/>
    <mergeCell ref="A53:E53"/>
    <mergeCell ref="F53:G53"/>
    <mergeCell ref="H53:I53"/>
    <mergeCell ref="J53:N53"/>
    <mergeCell ref="A54:E54"/>
    <mergeCell ref="F54:G54"/>
    <mergeCell ref="H54:I54"/>
    <mergeCell ref="J54:N54"/>
    <mergeCell ref="A51:E51"/>
    <mergeCell ref="F51:G51"/>
    <mergeCell ref="H51:I51"/>
    <mergeCell ref="J51:N51"/>
    <mergeCell ref="A52:E52"/>
    <mergeCell ref="F52:G52"/>
    <mergeCell ref="H52:I52"/>
    <mergeCell ref="J52:N52"/>
    <mergeCell ref="A47:E47"/>
    <mergeCell ref="F47:G47"/>
    <mergeCell ref="H47:L47"/>
    <mergeCell ref="A48:E48"/>
    <mergeCell ref="F48:G48"/>
    <mergeCell ref="H48:L48"/>
    <mergeCell ref="A45:E45"/>
    <mergeCell ref="F45:G45"/>
    <mergeCell ref="H45:L45"/>
    <mergeCell ref="A46:E46"/>
    <mergeCell ref="F46:G46"/>
    <mergeCell ref="H46:L46"/>
    <mergeCell ref="A41:E41"/>
    <mergeCell ref="F41:G41"/>
    <mergeCell ref="H41:L41"/>
    <mergeCell ref="A42:E42"/>
    <mergeCell ref="F42:G42"/>
    <mergeCell ref="H42:L42"/>
    <mergeCell ref="A39:E39"/>
    <mergeCell ref="F39:G39"/>
    <mergeCell ref="H39:L39"/>
    <mergeCell ref="A40:E40"/>
    <mergeCell ref="F40:G40"/>
    <mergeCell ref="H40:L40"/>
    <mergeCell ref="A34:E34"/>
    <mergeCell ref="F34:J34"/>
    <mergeCell ref="A35:E35"/>
    <mergeCell ref="F35:J35"/>
    <mergeCell ref="A36:E36"/>
    <mergeCell ref="F36:J36"/>
    <mergeCell ref="A31:E31"/>
    <mergeCell ref="F31:J31"/>
    <mergeCell ref="A32:E32"/>
    <mergeCell ref="F32:J32"/>
    <mergeCell ref="A33:E33"/>
    <mergeCell ref="F33:J33"/>
    <mergeCell ref="A26:E26"/>
    <mergeCell ref="F26:J26"/>
    <mergeCell ref="A27:E27"/>
    <mergeCell ref="F27:J27"/>
    <mergeCell ref="A28:E28"/>
    <mergeCell ref="F28:J28"/>
    <mergeCell ref="B20:F20"/>
    <mergeCell ref="G20:K20"/>
    <mergeCell ref="B21:F21"/>
    <mergeCell ref="G21:K21"/>
    <mergeCell ref="B22:F22"/>
    <mergeCell ref="G22:K22"/>
    <mergeCell ref="B17:F17"/>
    <mergeCell ref="G17:K17"/>
    <mergeCell ref="B18:F18"/>
    <mergeCell ref="G18:K18"/>
    <mergeCell ref="B19:F19"/>
    <mergeCell ref="G19:K19"/>
    <mergeCell ref="B14:F14"/>
    <mergeCell ref="B15:F15"/>
    <mergeCell ref="G15:K15"/>
    <mergeCell ref="B16:F16"/>
    <mergeCell ref="G14:K14"/>
    <mergeCell ref="B11:F11"/>
    <mergeCell ref="G11:K11"/>
    <mergeCell ref="B12:F12"/>
    <mergeCell ref="G12:K12"/>
    <mergeCell ref="B13:F13"/>
    <mergeCell ref="G13:K13"/>
    <mergeCell ref="B8:F8"/>
    <mergeCell ref="G8:K8"/>
    <mergeCell ref="B9:F9"/>
    <mergeCell ref="G9:K9"/>
    <mergeCell ref="B10:F10"/>
    <mergeCell ref="G10:K10"/>
  </mergeCells>
  <pageMargins left="0.74791666666666701" right="0.74791666666666701" top="0.98402777777777795" bottom="0.98402777777777795" header="0.51180555555555496" footer="0.51180555555555496"/>
  <pageSetup firstPageNumber="0" fitToHeight="3"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Normal="100" workbookViewId="0">
      <selection activeCell="B25" sqref="B25:F25"/>
    </sheetView>
  </sheetViews>
  <sheetFormatPr defaultColWidth="8.85546875" defaultRowHeight="12.75" x14ac:dyDescent="0.2"/>
  <cols>
    <col min="1" max="1025" width="8.85546875" customWidth="1"/>
  </cols>
  <sheetData>
    <row r="2" spans="2:13" x14ac:dyDescent="0.2">
      <c r="B2" s="214" t="s">
        <v>461</v>
      </c>
    </row>
    <row r="3" spans="2:13" x14ac:dyDescent="0.2">
      <c r="B3" s="255" t="s">
        <v>462</v>
      </c>
      <c r="C3" s="255"/>
      <c r="D3" s="255"/>
      <c r="E3" s="255"/>
      <c r="F3" s="255"/>
      <c r="G3" s="265" t="s">
        <v>463</v>
      </c>
      <c r="H3" s="265"/>
      <c r="I3" s="266" t="s">
        <v>464</v>
      </c>
      <c r="J3" s="266"/>
      <c r="K3" s="266"/>
      <c r="L3" s="266"/>
      <c r="M3" s="266"/>
    </row>
    <row r="4" spans="2:13" x14ac:dyDescent="0.2">
      <c r="B4" s="299"/>
      <c r="C4" s="299"/>
      <c r="D4" s="299"/>
      <c r="E4" s="299"/>
      <c r="F4" s="299"/>
      <c r="G4" s="300"/>
      <c r="H4" s="300"/>
      <c r="I4" s="301"/>
      <c r="J4" s="301"/>
      <c r="K4" s="301"/>
      <c r="L4" s="301"/>
      <c r="M4" s="301"/>
    </row>
    <row r="5" spans="2:13" x14ac:dyDescent="0.2">
      <c r="B5" s="302"/>
      <c r="C5" s="302"/>
      <c r="D5" s="302"/>
      <c r="E5" s="302"/>
      <c r="F5" s="302"/>
      <c r="G5" s="303"/>
      <c r="H5" s="303"/>
      <c r="I5" s="301"/>
      <c r="J5" s="301"/>
      <c r="K5" s="301"/>
      <c r="L5" s="301"/>
      <c r="M5" s="301"/>
    </row>
    <row r="6" spans="2:13" x14ac:dyDescent="0.2">
      <c r="B6" s="255" t="s">
        <v>465</v>
      </c>
      <c r="C6" s="255"/>
      <c r="D6" s="255"/>
      <c r="E6" s="255"/>
      <c r="F6" s="255"/>
      <c r="G6" s="265" t="s">
        <v>463</v>
      </c>
      <c r="H6" s="265"/>
      <c r="I6" s="266" t="s">
        <v>464</v>
      </c>
      <c r="J6" s="266"/>
      <c r="K6" s="266"/>
      <c r="L6" s="266"/>
      <c r="M6" s="266"/>
    </row>
    <row r="7" spans="2:13" x14ac:dyDescent="0.2">
      <c r="B7" s="304"/>
      <c r="C7" s="304"/>
      <c r="D7" s="304"/>
      <c r="E7" s="304"/>
      <c r="F7" s="304"/>
      <c r="G7" s="305"/>
      <c r="H7" s="305"/>
      <c r="I7" s="306"/>
      <c r="J7" s="306"/>
      <c r="K7" s="306"/>
      <c r="L7" s="306"/>
      <c r="M7" s="306"/>
    </row>
    <row r="8" spans="2:13" x14ac:dyDescent="0.2">
      <c r="B8" s="302"/>
      <c r="C8" s="302"/>
      <c r="D8" s="302"/>
      <c r="E8" s="302"/>
      <c r="F8" s="302"/>
      <c r="G8" s="307"/>
      <c r="H8" s="307"/>
      <c r="I8" s="308"/>
      <c r="J8" s="308"/>
      <c r="K8" s="308"/>
      <c r="L8" s="308"/>
      <c r="M8" s="308"/>
    </row>
    <row r="9" spans="2:13" x14ac:dyDescent="0.2">
      <c r="B9" s="255" t="s">
        <v>466</v>
      </c>
      <c r="C9" s="255"/>
      <c r="D9" s="255"/>
      <c r="E9" s="255"/>
      <c r="F9" s="255"/>
      <c r="G9" s="265" t="s">
        <v>463</v>
      </c>
      <c r="H9" s="265"/>
      <c r="I9" s="266" t="s">
        <v>464</v>
      </c>
      <c r="J9" s="266"/>
      <c r="K9" s="266"/>
      <c r="L9" s="266"/>
      <c r="M9" s="266"/>
    </row>
    <row r="10" spans="2:13" x14ac:dyDescent="0.2">
      <c r="B10" s="304"/>
      <c r="C10" s="304"/>
      <c r="D10" s="304"/>
      <c r="E10" s="304"/>
      <c r="F10" s="304"/>
      <c r="G10" s="305"/>
      <c r="H10" s="305"/>
      <c r="I10" s="306"/>
      <c r="J10" s="306"/>
      <c r="K10" s="306"/>
      <c r="L10" s="306"/>
      <c r="M10" s="306"/>
    </row>
    <row r="11" spans="2:13" x14ac:dyDescent="0.2">
      <c r="B11" s="302"/>
      <c r="C11" s="302"/>
      <c r="D11" s="302"/>
      <c r="E11" s="302"/>
      <c r="F11" s="302"/>
      <c r="G11" s="307"/>
      <c r="H11" s="307"/>
      <c r="I11" s="308"/>
      <c r="J11" s="308"/>
      <c r="K11" s="308"/>
      <c r="L11" s="308"/>
      <c r="M11" s="308"/>
    </row>
    <row r="12" spans="2:13" x14ac:dyDescent="0.2">
      <c r="B12" s="255" t="s">
        <v>467</v>
      </c>
      <c r="C12" s="255"/>
      <c r="D12" s="255"/>
      <c r="E12" s="255"/>
      <c r="F12" s="255"/>
      <c r="G12" s="265" t="s">
        <v>463</v>
      </c>
      <c r="H12" s="265"/>
      <c r="I12" s="266" t="s">
        <v>464</v>
      </c>
      <c r="J12" s="266"/>
      <c r="K12" s="266"/>
      <c r="L12" s="266"/>
      <c r="M12" s="266"/>
    </row>
    <row r="13" spans="2:13" x14ac:dyDescent="0.2">
      <c r="B13" s="304"/>
      <c r="C13" s="304"/>
      <c r="D13" s="304"/>
      <c r="E13" s="304"/>
      <c r="F13" s="304"/>
      <c r="G13" s="305"/>
      <c r="H13" s="305"/>
      <c r="I13" s="306"/>
      <c r="J13" s="306"/>
      <c r="K13" s="306"/>
      <c r="L13" s="306"/>
      <c r="M13" s="306"/>
    </row>
    <row r="14" spans="2:13" x14ac:dyDescent="0.2">
      <c r="B14" s="302"/>
      <c r="C14" s="302"/>
      <c r="D14" s="302"/>
      <c r="E14" s="302"/>
      <c r="F14" s="302"/>
      <c r="G14" s="307"/>
      <c r="H14" s="307"/>
      <c r="I14" s="308"/>
      <c r="J14" s="308"/>
      <c r="K14" s="308"/>
      <c r="L14" s="308"/>
      <c r="M14" s="308"/>
    </row>
    <row r="15" spans="2:13" x14ac:dyDescent="0.2">
      <c r="B15" s="255" t="s">
        <v>468</v>
      </c>
      <c r="C15" s="255"/>
      <c r="D15" s="255"/>
      <c r="E15" s="255"/>
      <c r="F15" s="255"/>
      <c r="G15" s="265" t="s">
        <v>463</v>
      </c>
      <c r="H15" s="265"/>
      <c r="I15" s="266" t="s">
        <v>464</v>
      </c>
      <c r="J15" s="266"/>
      <c r="K15" s="266"/>
      <c r="L15" s="266"/>
      <c r="M15" s="266"/>
    </row>
    <row r="16" spans="2:13" x14ac:dyDescent="0.2">
      <c r="B16" s="304"/>
      <c r="C16" s="304"/>
      <c r="D16" s="304"/>
      <c r="E16" s="304"/>
      <c r="F16" s="304"/>
      <c r="G16" s="305"/>
      <c r="H16" s="305"/>
      <c r="I16" s="306"/>
      <c r="J16" s="306"/>
      <c r="K16" s="306"/>
      <c r="L16" s="306"/>
      <c r="M16" s="306"/>
    </row>
    <row r="17" spans="2:13" x14ac:dyDescent="0.2">
      <c r="B17" s="302"/>
      <c r="C17" s="302"/>
      <c r="D17" s="302"/>
      <c r="E17" s="302"/>
      <c r="F17" s="302"/>
      <c r="G17" s="307"/>
      <c r="H17" s="307"/>
      <c r="I17" s="308"/>
      <c r="J17" s="308"/>
      <c r="K17" s="308"/>
      <c r="L17" s="308"/>
      <c r="M17" s="308"/>
    </row>
    <row r="18" spans="2:13" x14ac:dyDescent="0.2">
      <c r="B18" s="255" t="s">
        <v>469</v>
      </c>
      <c r="C18" s="255"/>
      <c r="D18" s="255"/>
      <c r="E18" s="255"/>
      <c r="F18" s="255"/>
      <c r="G18" s="265" t="s">
        <v>463</v>
      </c>
      <c r="H18" s="265"/>
      <c r="I18" s="266" t="s">
        <v>464</v>
      </c>
      <c r="J18" s="266"/>
      <c r="K18" s="266"/>
      <c r="L18" s="266"/>
      <c r="M18" s="266"/>
    </row>
    <row r="19" spans="2:13" x14ac:dyDescent="0.2">
      <c r="B19" s="304"/>
      <c r="C19" s="304"/>
      <c r="D19" s="304"/>
      <c r="E19" s="304"/>
      <c r="F19" s="304"/>
      <c r="G19" s="305"/>
      <c r="H19" s="305"/>
      <c r="I19" s="306"/>
      <c r="J19" s="306"/>
      <c r="K19" s="306"/>
      <c r="L19" s="306"/>
      <c r="M19" s="306"/>
    </row>
    <row r="20" spans="2:13" x14ac:dyDescent="0.2">
      <c r="B20" s="302"/>
      <c r="C20" s="302"/>
      <c r="D20" s="302"/>
      <c r="E20" s="302"/>
      <c r="F20" s="302"/>
      <c r="G20" s="307"/>
      <c r="H20" s="307"/>
      <c r="I20" s="308"/>
      <c r="J20" s="308"/>
      <c r="K20" s="308"/>
      <c r="L20" s="308"/>
      <c r="M20" s="308"/>
    </row>
    <row r="21" spans="2:13" x14ac:dyDescent="0.2">
      <c r="B21" s="255" t="s">
        <v>470</v>
      </c>
      <c r="C21" s="255"/>
      <c r="D21" s="255"/>
      <c r="E21" s="255"/>
      <c r="F21" s="255"/>
      <c r="G21" s="265" t="s">
        <v>463</v>
      </c>
      <c r="H21" s="265"/>
      <c r="I21" s="266" t="s">
        <v>464</v>
      </c>
      <c r="J21" s="266"/>
      <c r="K21" s="266"/>
      <c r="L21" s="266"/>
      <c r="M21" s="266"/>
    </row>
    <row r="22" spans="2:13" x14ac:dyDescent="0.2">
      <c r="B22" s="304"/>
      <c r="C22" s="304"/>
      <c r="D22" s="304"/>
      <c r="E22" s="304"/>
      <c r="F22" s="304"/>
      <c r="G22" s="305"/>
      <c r="H22" s="305"/>
      <c r="I22" s="306"/>
      <c r="J22" s="306"/>
      <c r="K22" s="306"/>
      <c r="L22" s="306"/>
      <c r="M22" s="306"/>
    </row>
    <row r="23" spans="2:13" x14ac:dyDescent="0.2">
      <c r="B23" s="302"/>
      <c r="C23" s="302"/>
      <c r="D23" s="302"/>
      <c r="E23" s="302"/>
      <c r="F23" s="302"/>
      <c r="G23" s="307"/>
      <c r="H23" s="307"/>
      <c r="I23" s="308"/>
      <c r="J23" s="308"/>
      <c r="K23" s="308"/>
      <c r="L23" s="308"/>
      <c r="M23" s="308"/>
    </row>
    <row r="24" spans="2:13" x14ac:dyDescent="0.2">
      <c r="B24" s="255" t="s">
        <v>471</v>
      </c>
      <c r="C24" s="255"/>
      <c r="D24" s="255"/>
      <c r="E24" s="255"/>
      <c r="F24" s="255"/>
      <c r="G24" s="265" t="s">
        <v>463</v>
      </c>
      <c r="H24" s="265"/>
      <c r="I24" s="266" t="s">
        <v>464</v>
      </c>
      <c r="J24" s="266"/>
      <c r="K24" s="266"/>
      <c r="L24" s="266"/>
      <c r="M24" s="266"/>
    </row>
    <row r="25" spans="2:13" x14ac:dyDescent="0.2">
      <c r="B25" s="304"/>
      <c r="C25" s="304"/>
      <c r="D25" s="304"/>
      <c r="E25" s="304"/>
      <c r="F25" s="304"/>
      <c r="G25" s="305"/>
      <c r="H25" s="305"/>
      <c r="I25" s="306"/>
      <c r="J25" s="306"/>
      <c r="K25" s="306"/>
      <c r="L25" s="306"/>
      <c r="M25" s="306"/>
    </row>
    <row r="26" spans="2:13" x14ac:dyDescent="0.2">
      <c r="B26" s="302"/>
      <c r="C26" s="302"/>
      <c r="D26" s="302"/>
      <c r="E26" s="302"/>
      <c r="F26" s="302"/>
      <c r="G26" s="307"/>
      <c r="H26" s="307"/>
      <c r="I26" s="308"/>
      <c r="J26" s="308"/>
      <c r="K26" s="308"/>
      <c r="L26" s="308"/>
      <c r="M26" s="308"/>
    </row>
    <row r="27" spans="2:13" x14ac:dyDescent="0.2">
      <c r="B27" s="255" t="s">
        <v>472</v>
      </c>
      <c r="C27" s="255"/>
      <c r="D27" s="255"/>
      <c r="E27" s="255"/>
      <c r="F27" s="255"/>
      <c r="G27" s="265" t="s">
        <v>463</v>
      </c>
      <c r="H27" s="265"/>
      <c r="I27" s="266" t="s">
        <v>464</v>
      </c>
      <c r="J27" s="266"/>
      <c r="K27" s="266"/>
      <c r="L27" s="266"/>
      <c r="M27" s="266"/>
    </row>
    <row r="28" spans="2:13" x14ac:dyDescent="0.2">
      <c r="B28" s="304"/>
      <c r="C28" s="304"/>
      <c r="D28" s="304"/>
      <c r="E28" s="304"/>
      <c r="F28" s="304"/>
      <c r="G28" s="305"/>
      <c r="H28" s="305"/>
      <c r="I28" s="306"/>
      <c r="J28" s="306"/>
      <c r="K28" s="306"/>
      <c r="L28" s="306"/>
      <c r="M28" s="306"/>
    </row>
    <row r="29" spans="2:13" x14ac:dyDescent="0.2">
      <c r="B29" s="302"/>
      <c r="C29" s="302"/>
      <c r="D29" s="302"/>
      <c r="E29" s="302"/>
      <c r="F29" s="302"/>
      <c r="G29" s="307"/>
      <c r="H29" s="307"/>
      <c r="I29" s="308"/>
      <c r="J29" s="308"/>
      <c r="K29" s="308"/>
      <c r="L29" s="308"/>
      <c r="M29" s="308"/>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G30"/>
  <sheetViews>
    <sheetView zoomScale="90" zoomScaleNormal="90" workbookViewId="0">
      <pane ySplit="8" topLeftCell="A9" activePane="bottomLeft" state="frozen"/>
      <selection pane="bottomLeft" activeCell="G18" sqref="G18"/>
    </sheetView>
  </sheetViews>
  <sheetFormatPr defaultColWidth="8.85546875" defaultRowHeight="12.75" x14ac:dyDescent="0.2"/>
  <cols>
    <col min="1" max="1" width="13.42578125" customWidth="1"/>
    <col min="2" max="2" width="37.42578125" customWidth="1"/>
    <col min="3" max="3" width="19.7109375" customWidth="1"/>
    <col min="4" max="4" width="16.140625" customWidth="1"/>
    <col min="5" max="5" width="13" customWidth="1"/>
    <col min="6" max="6" width="21.7109375" customWidth="1"/>
    <col min="7" max="7" width="63" customWidth="1"/>
    <col min="8" max="1025" width="8.85546875" customWidth="1"/>
  </cols>
  <sheetData>
    <row r="2" spans="1:7" x14ac:dyDescent="0.2">
      <c r="A2" s="133" t="s">
        <v>1</v>
      </c>
      <c r="B2" s="134"/>
      <c r="D2" s="135"/>
      <c r="E2" s="136" t="s">
        <v>162</v>
      </c>
      <c r="F2" s="137"/>
      <c r="G2" s="1" t="s">
        <v>163</v>
      </c>
    </row>
    <row r="3" spans="1:7" x14ac:dyDescent="0.2">
      <c r="A3" s="138" t="s">
        <v>3</v>
      </c>
      <c r="B3" s="139" t="str">
        <f>Metrics!B3</f>
        <v>Tier-1</v>
      </c>
      <c r="D3" s="140"/>
      <c r="E3" s="141" t="s">
        <v>164</v>
      </c>
      <c r="F3" s="142"/>
      <c r="G3" t="s">
        <v>165</v>
      </c>
    </row>
    <row r="4" spans="1:7" x14ac:dyDescent="0.2">
      <c r="A4" s="9" t="s">
        <v>6</v>
      </c>
      <c r="B4" s="10" t="str">
        <f>Metrics!B4</f>
        <v>Q418</v>
      </c>
      <c r="D4" s="143"/>
      <c r="E4" s="141" t="s">
        <v>166</v>
      </c>
      <c r="F4" s="144"/>
      <c r="G4" t="s">
        <v>167</v>
      </c>
    </row>
    <row r="5" spans="1:7" x14ac:dyDescent="0.2">
      <c r="A5" s="16" t="s">
        <v>9</v>
      </c>
      <c r="B5" s="17" t="str">
        <f>Metrics!B5</f>
        <v>Darren Moore</v>
      </c>
      <c r="D5" s="19"/>
      <c r="E5" s="145" t="s">
        <v>12</v>
      </c>
      <c r="F5" s="146"/>
      <c r="G5" t="s">
        <v>168</v>
      </c>
    </row>
    <row r="6" spans="1:7" x14ac:dyDescent="0.2">
      <c r="A6" s="147" t="s">
        <v>169</v>
      </c>
    </row>
    <row r="8" spans="1:7" ht="20.100000000000001" customHeight="1" x14ac:dyDescent="0.2">
      <c r="A8" s="21" t="s">
        <v>170</v>
      </c>
      <c r="B8" s="21" t="s">
        <v>15</v>
      </c>
      <c r="C8" s="21" t="s">
        <v>17</v>
      </c>
      <c r="D8" s="21" t="s">
        <v>171</v>
      </c>
      <c r="E8" s="21" t="s">
        <v>172</v>
      </c>
      <c r="F8" s="21" t="s">
        <v>173</v>
      </c>
      <c r="G8" s="21" t="s">
        <v>174</v>
      </c>
    </row>
    <row r="9" spans="1:7" ht="25.5" x14ac:dyDescent="0.2">
      <c r="A9" s="148" t="s">
        <v>175</v>
      </c>
      <c r="B9" s="149" t="s">
        <v>176</v>
      </c>
      <c r="C9" s="150" t="s">
        <v>52</v>
      </c>
      <c r="D9" s="151">
        <v>42522</v>
      </c>
      <c r="E9" s="152"/>
      <c r="F9" s="152"/>
      <c r="G9" s="152" t="s">
        <v>177</v>
      </c>
    </row>
    <row r="10" spans="1:7" x14ac:dyDescent="0.2">
      <c r="A10" s="148" t="s">
        <v>178</v>
      </c>
      <c r="B10" s="150" t="s">
        <v>179</v>
      </c>
      <c r="C10" s="150" t="s">
        <v>52</v>
      </c>
      <c r="D10" s="151">
        <v>42675</v>
      </c>
      <c r="E10" s="153">
        <v>42767</v>
      </c>
      <c r="F10" s="152"/>
      <c r="G10" s="152" t="s">
        <v>180</v>
      </c>
    </row>
    <row r="11" spans="1:7" x14ac:dyDescent="0.2">
      <c r="A11" s="148" t="s">
        <v>181</v>
      </c>
      <c r="B11" s="150" t="s">
        <v>182</v>
      </c>
      <c r="C11" s="150" t="s">
        <v>52</v>
      </c>
      <c r="D11" s="151">
        <v>42826</v>
      </c>
      <c r="E11" s="152"/>
      <c r="F11" s="152"/>
      <c r="G11" s="152" t="s">
        <v>183</v>
      </c>
    </row>
    <row r="12" spans="1:7" x14ac:dyDescent="0.2">
      <c r="A12" s="148" t="s">
        <v>184</v>
      </c>
      <c r="B12" s="150" t="s">
        <v>185</v>
      </c>
      <c r="C12" s="150" t="s">
        <v>186</v>
      </c>
      <c r="D12" s="151">
        <v>42856</v>
      </c>
      <c r="E12" s="152"/>
      <c r="F12" s="152"/>
      <c r="G12" s="154" t="s">
        <v>187</v>
      </c>
    </row>
    <row r="13" spans="1:7" x14ac:dyDescent="0.2">
      <c r="A13" s="148" t="s">
        <v>188</v>
      </c>
      <c r="B13" s="150" t="s">
        <v>176</v>
      </c>
      <c r="C13" s="150" t="s">
        <v>186</v>
      </c>
      <c r="D13" s="151">
        <v>42887</v>
      </c>
      <c r="E13" s="152"/>
      <c r="F13" s="152"/>
      <c r="G13" s="152" t="s">
        <v>189</v>
      </c>
    </row>
    <row r="14" spans="1:7" ht="25.5" x14ac:dyDescent="0.2">
      <c r="A14" s="148" t="s">
        <v>190</v>
      </c>
      <c r="B14" s="150" t="s">
        <v>191</v>
      </c>
      <c r="C14" s="150" t="s">
        <v>186</v>
      </c>
      <c r="D14" s="151">
        <v>43040</v>
      </c>
      <c r="E14" s="155"/>
      <c r="F14" s="152"/>
      <c r="G14" s="152" t="s">
        <v>192</v>
      </c>
    </row>
    <row r="15" spans="1:7" ht="25.5" x14ac:dyDescent="0.2">
      <c r="A15" s="148" t="s">
        <v>193</v>
      </c>
      <c r="B15" s="150" t="s">
        <v>194</v>
      </c>
      <c r="C15" s="150" t="s">
        <v>186</v>
      </c>
      <c r="D15" s="151">
        <v>43191</v>
      </c>
      <c r="E15" s="153">
        <v>43344</v>
      </c>
      <c r="F15" s="152"/>
      <c r="G15" s="152" t="s">
        <v>195</v>
      </c>
    </row>
    <row r="16" spans="1:7" x14ac:dyDescent="0.2">
      <c r="A16" s="148" t="s">
        <v>196</v>
      </c>
      <c r="B16" s="150" t="s">
        <v>185</v>
      </c>
      <c r="C16" s="150" t="s">
        <v>186</v>
      </c>
      <c r="D16" s="151">
        <v>43221</v>
      </c>
      <c r="E16" s="153">
        <v>43344</v>
      </c>
      <c r="F16" s="152"/>
      <c r="G16" s="152" t="s">
        <v>197</v>
      </c>
    </row>
    <row r="17" spans="1:7" ht="25.5" x14ac:dyDescent="0.2">
      <c r="A17" s="148" t="s">
        <v>198</v>
      </c>
      <c r="B17" s="149" t="s">
        <v>176</v>
      </c>
      <c r="C17" s="150" t="s">
        <v>186</v>
      </c>
      <c r="D17" s="151">
        <v>43252</v>
      </c>
      <c r="E17" s="153">
        <v>43313</v>
      </c>
      <c r="F17" s="152"/>
      <c r="G17" s="152" t="s">
        <v>199</v>
      </c>
    </row>
    <row r="18" spans="1:7" ht="25.5" x14ac:dyDescent="0.2">
      <c r="A18" s="156" t="s">
        <v>200</v>
      </c>
      <c r="B18" s="157" t="s">
        <v>201</v>
      </c>
      <c r="C18" s="157" t="s">
        <v>186</v>
      </c>
      <c r="D18" s="158">
        <v>43405</v>
      </c>
      <c r="E18" s="159"/>
      <c r="F18" s="159"/>
      <c r="G18" s="159" t="s">
        <v>202</v>
      </c>
    </row>
    <row r="19" spans="1:7" x14ac:dyDescent="0.2">
      <c r="A19" s="160" t="s">
        <v>203</v>
      </c>
      <c r="B19" s="161" t="s">
        <v>204</v>
      </c>
      <c r="C19" s="150" t="s">
        <v>186</v>
      </c>
      <c r="D19" s="162">
        <v>43556</v>
      </c>
      <c r="E19" s="79"/>
      <c r="F19" s="79"/>
      <c r="G19" s="79"/>
    </row>
    <row r="20" spans="1:7" ht="32.25" customHeight="1" x14ac:dyDescent="0.2">
      <c r="A20" s="160" t="s">
        <v>205</v>
      </c>
      <c r="B20" s="161" t="s">
        <v>185</v>
      </c>
      <c r="C20" s="150" t="s">
        <v>186</v>
      </c>
      <c r="D20" s="162">
        <v>43586</v>
      </c>
      <c r="E20" s="79"/>
      <c r="F20" s="79"/>
      <c r="G20" s="79"/>
    </row>
    <row r="21" spans="1:7" x14ac:dyDescent="0.2">
      <c r="A21" s="160" t="s">
        <v>206</v>
      </c>
      <c r="B21" s="163" t="s">
        <v>176</v>
      </c>
      <c r="C21" s="150" t="s">
        <v>186</v>
      </c>
      <c r="D21" s="162">
        <v>43617</v>
      </c>
      <c r="E21" s="79"/>
      <c r="F21" s="79"/>
      <c r="G21" s="79"/>
    </row>
    <row r="22" spans="1:7" ht="42.75" customHeight="1" x14ac:dyDescent="0.2">
      <c r="A22" s="160" t="s">
        <v>207</v>
      </c>
      <c r="B22" s="161" t="s">
        <v>208</v>
      </c>
      <c r="C22" s="150" t="s">
        <v>186</v>
      </c>
      <c r="D22" s="162">
        <v>43770</v>
      </c>
      <c r="E22" s="79"/>
      <c r="F22" s="79"/>
      <c r="G22" s="79"/>
    </row>
    <row r="23" spans="1:7" ht="42.75" customHeight="1" x14ac:dyDescent="0.2">
      <c r="A23" s="160" t="s">
        <v>209</v>
      </c>
      <c r="B23" s="161" t="s">
        <v>210</v>
      </c>
      <c r="C23" s="150" t="s">
        <v>186</v>
      </c>
      <c r="D23" s="162">
        <v>43922</v>
      </c>
      <c r="E23" s="79"/>
      <c r="F23" s="79"/>
      <c r="G23" s="79"/>
    </row>
    <row r="24" spans="1:7" ht="128.25" customHeight="1" x14ac:dyDescent="0.2">
      <c r="A24" s="160" t="s">
        <v>211</v>
      </c>
      <c r="B24" s="161" t="s">
        <v>185</v>
      </c>
      <c r="C24" s="150" t="s">
        <v>186</v>
      </c>
      <c r="D24" s="162">
        <v>43952</v>
      </c>
      <c r="E24" s="79"/>
      <c r="F24" s="79"/>
      <c r="G24" s="79"/>
    </row>
    <row r="25" spans="1:7" ht="48.75" customHeight="1" x14ac:dyDescent="0.2"/>
    <row r="29" spans="1:7" ht="49.5" customHeight="1" x14ac:dyDescent="0.2"/>
    <row r="30" spans="1:7" ht="35.1" customHeight="1" x14ac:dyDescent="0.2"/>
  </sheetData>
  <pageMargins left="0.75" right="0.75" top="1" bottom="1" header="0.51180555555555496" footer="0.51180555555555496"/>
  <pageSetup paperSize="9" firstPageNumber="0" orientation="landscape" horizontalDpi="300" verticalDpi="30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zoomScale="80" zoomScaleNormal="80" workbookViewId="0">
      <selection activeCell="D21" sqref="D21"/>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52</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47.25" x14ac:dyDescent="0.25">
      <c r="A10" s="183" t="s">
        <v>4</v>
      </c>
      <c r="B10" s="184" t="s">
        <v>221</v>
      </c>
      <c r="C10" s="185" t="s">
        <v>222</v>
      </c>
      <c r="D10" s="186">
        <v>4.5</v>
      </c>
      <c r="E10" s="186">
        <v>4.5</v>
      </c>
      <c r="F10" s="186">
        <v>4.5</v>
      </c>
      <c r="G10" s="187"/>
      <c r="H10" s="188"/>
      <c r="I10" s="189"/>
      <c r="J10" s="1"/>
      <c r="K10" s="2"/>
      <c r="L10" s="190">
        <f t="shared" ref="L10:L15" si="0">SUM(D10:F10)</f>
        <v>13.5</v>
      </c>
      <c r="M10" s="190">
        <f t="shared" ref="M10:M15" si="1">SUM(G10:I10)</f>
        <v>0</v>
      </c>
    </row>
    <row r="11" spans="1:18" ht="63" x14ac:dyDescent="0.25">
      <c r="A11" s="191" t="s">
        <v>4</v>
      </c>
      <c r="B11" s="192" t="s">
        <v>223</v>
      </c>
      <c r="C11" s="193" t="s">
        <v>224</v>
      </c>
      <c r="D11" s="194">
        <v>3.7</v>
      </c>
      <c r="E11" s="194">
        <v>3.7</v>
      </c>
      <c r="F11" s="194">
        <v>3.7</v>
      </c>
      <c r="G11" s="195"/>
      <c r="H11" s="195"/>
      <c r="I11" s="195"/>
      <c r="J11" s="1"/>
      <c r="L11" s="190">
        <f t="shared" si="0"/>
        <v>11.100000000000001</v>
      </c>
      <c r="M11" s="190">
        <f t="shared" si="1"/>
        <v>0</v>
      </c>
    </row>
    <row r="12" spans="1:18" ht="63" x14ac:dyDescent="0.25">
      <c r="A12" s="191" t="s">
        <v>4</v>
      </c>
      <c r="B12" s="192" t="s">
        <v>225</v>
      </c>
      <c r="C12" s="193" t="s">
        <v>226</v>
      </c>
      <c r="D12" s="196">
        <v>3.9</v>
      </c>
      <c r="E12" s="196">
        <v>3.9</v>
      </c>
      <c r="F12" s="196">
        <v>3.9</v>
      </c>
      <c r="G12" s="197"/>
      <c r="H12" s="197"/>
      <c r="I12" s="197"/>
      <c r="J12" s="198"/>
      <c r="L12" s="190">
        <f t="shared" si="0"/>
        <v>11.7</v>
      </c>
      <c r="M12" s="190">
        <f t="shared" si="1"/>
        <v>0</v>
      </c>
      <c r="R12" s="190">
        <f>AVERAGE(D16:F16)</f>
        <v>15.772072072072078</v>
      </c>
    </row>
    <row r="13" spans="1:18" ht="15.75" x14ac:dyDescent="0.25">
      <c r="A13" s="191" t="s">
        <v>4</v>
      </c>
      <c r="B13" s="192" t="s">
        <v>227</v>
      </c>
      <c r="C13" s="193" t="s">
        <v>228</v>
      </c>
      <c r="D13" s="196">
        <v>1.8</v>
      </c>
      <c r="E13" s="196">
        <v>1.3</v>
      </c>
      <c r="F13" s="196">
        <v>1.3</v>
      </c>
      <c r="G13" s="197"/>
      <c r="H13" s="199"/>
      <c r="I13" s="200"/>
      <c r="J13" s="201"/>
      <c r="L13" s="190">
        <f t="shared" si="0"/>
        <v>4.4000000000000004</v>
      </c>
      <c r="M13" s="190">
        <f t="shared" si="1"/>
        <v>0</v>
      </c>
    </row>
    <row r="14" spans="1:18" ht="15.75" x14ac:dyDescent="0.25">
      <c r="A14" s="191" t="s">
        <v>4</v>
      </c>
      <c r="B14" s="192" t="s">
        <v>229</v>
      </c>
      <c r="C14" s="193" t="s">
        <v>230</v>
      </c>
      <c r="D14" s="196">
        <v>0.2</v>
      </c>
      <c r="E14" s="196">
        <v>0.2</v>
      </c>
      <c r="F14" s="196">
        <v>0.2</v>
      </c>
      <c r="G14" s="197"/>
      <c r="H14" s="197"/>
      <c r="I14" s="197"/>
      <c r="J14" s="201"/>
      <c r="L14" s="190">
        <f t="shared" si="0"/>
        <v>0.60000000000000009</v>
      </c>
      <c r="M14" s="190">
        <f t="shared" si="1"/>
        <v>0</v>
      </c>
    </row>
    <row r="15" spans="1:18" ht="15.75" x14ac:dyDescent="0.25">
      <c r="A15" s="191" t="s">
        <v>4</v>
      </c>
      <c r="B15" s="192" t="s">
        <v>231</v>
      </c>
      <c r="C15" s="193" t="s">
        <v>232</v>
      </c>
      <c r="D15" s="202">
        <v>2.0054054054054098</v>
      </c>
      <c r="E15" s="202">
        <v>2.0054054054054098</v>
      </c>
      <c r="F15" s="202">
        <v>2.0054054054054098</v>
      </c>
      <c r="G15" s="203"/>
      <c r="H15" s="203"/>
      <c r="I15" s="203"/>
      <c r="J15" s="201"/>
      <c r="L15" s="190">
        <f t="shared" si="0"/>
        <v>6.0162162162162289</v>
      </c>
      <c r="M15" s="190">
        <f t="shared" si="1"/>
        <v>0</v>
      </c>
    </row>
    <row r="16" spans="1:18" ht="15.75" x14ac:dyDescent="0.25">
      <c r="A16" s="204" t="s">
        <v>0</v>
      </c>
      <c r="B16" s="205"/>
      <c r="C16" s="206"/>
      <c r="D16" s="207">
        <f t="shared" ref="D16:I16" si="2">SUM(D10:D15)</f>
        <v>16.10540540540541</v>
      </c>
      <c r="E16" s="207">
        <f t="shared" si="2"/>
        <v>15.60540540540541</v>
      </c>
      <c r="F16" s="207">
        <f t="shared" si="2"/>
        <v>15.60540540540541</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186">
        <v>0.37</v>
      </c>
      <c r="E21" s="186">
        <v>0.37</v>
      </c>
      <c r="F21" s="186">
        <v>0.37</v>
      </c>
      <c r="G21" s="187"/>
      <c r="H21" s="188"/>
      <c r="I21" s="189"/>
      <c r="J21" s="1"/>
      <c r="K21" s="2"/>
      <c r="L21" s="190">
        <f>SUM(D21:F21)</f>
        <v>1.1099999999999999</v>
      </c>
      <c r="M21" s="190">
        <f>SUM(G21:I21)</f>
        <v>0</v>
      </c>
    </row>
    <row r="22" spans="1:14" ht="15.75" x14ac:dyDescent="0.25">
      <c r="A22" s="191" t="s">
        <v>4</v>
      </c>
      <c r="B22" s="192" t="s">
        <v>235</v>
      </c>
      <c r="C22" s="193" t="s">
        <v>236</v>
      </c>
      <c r="D22" s="194">
        <v>0.28999999999999998</v>
      </c>
      <c r="E22" s="194">
        <v>0.28999999999999998</v>
      </c>
      <c r="F22" s="194">
        <v>0.27800000000000002</v>
      </c>
      <c r="G22" s="195"/>
      <c r="H22" s="195"/>
      <c r="I22" s="195"/>
      <c r="J22" s="1"/>
      <c r="L22" s="190">
        <f>SUM(D22:F22)</f>
        <v>0.85799999999999998</v>
      </c>
      <c r="M22" s="190">
        <f>SUM(G22:I22)</f>
        <v>0</v>
      </c>
    </row>
    <row r="23" spans="1:14" ht="15.75" x14ac:dyDescent="0.25">
      <c r="A23" s="204" t="s">
        <v>0</v>
      </c>
      <c r="B23" s="205"/>
      <c r="C23" s="206"/>
      <c r="D23" s="207">
        <f t="shared" ref="D23:I23" si="3">SUM(D21:D22)</f>
        <v>0.65999999999999992</v>
      </c>
      <c r="E23" s="207">
        <f t="shared" si="3"/>
        <v>0.65999999999999992</v>
      </c>
      <c r="F23" s="207">
        <f t="shared" si="3"/>
        <v>0.64800000000000002</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topLeftCell="A4" zoomScale="80" zoomScaleNormal="80" workbookViewId="0">
      <selection activeCell="F23" sqref="F2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52</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47.25" x14ac:dyDescent="0.25">
      <c r="A10" s="183" t="s">
        <v>4</v>
      </c>
      <c r="B10" s="184" t="s">
        <v>221</v>
      </c>
      <c r="C10" s="185" t="s">
        <v>222</v>
      </c>
      <c r="D10" s="186"/>
      <c r="E10" s="186"/>
      <c r="F10" s="186"/>
      <c r="G10" s="187"/>
      <c r="H10" s="188"/>
      <c r="I10" s="189"/>
      <c r="J10" s="1"/>
      <c r="K10" s="2"/>
      <c r="L10" s="190">
        <f t="shared" ref="L10:L15" si="0">SUM(D10:F10)</f>
        <v>0</v>
      </c>
      <c r="M10" s="190">
        <f t="shared" ref="M10:M15" si="1">SUM(G10:I10)</f>
        <v>0</v>
      </c>
    </row>
    <row r="11" spans="1:18" ht="63" x14ac:dyDescent="0.25">
      <c r="A11" s="191" t="s">
        <v>4</v>
      </c>
      <c r="B11" s="192" t="s">
        <v>223</v>
      </c>
      <c r="C11" s="193" t="s">
        <v>224</v>
      </c>
      <c r="D11" s="194"/>
      <c r="E11" s="194"/>
      <c r="F11" s="194"/>
      <c r="G11" s="195"/>
      <c r="H11" s="195"/>
      <c r="I11" s="195"/>
      <c r="J11" s="1"/>
      <c r="L11" s="190">
        <f t="shared" si="0"/>
        <v>0</v>
      </c>
      <c r="M11" s="190">
        <f t="shared" si="1"/>
        <v>0</v>
      </c>
    </row>
    <row r="12" spans="1:18" ht="63" x14ac:dyDescent="0.25">
      <c r="A12" s="191" t="s">
        <v>4</v>
      </c>
      <c r="B12" s="192" t="s">
        <v>225</v>
      </c>
      <c r="C12" s="193" t="s">
        <v>226</v>
      </c>
      <c r="D12" s="196"/>
      <c r="E12" s="196"/>
      <c r="F12" s="196"/>
      <c r="G12" s="197"/>
      <c r="H12" s="197"/>
      <c r="I12" s="197"/>
      <c r="J12" s="198"/>
      <c r="L12" s="190">
        <f t="shared" si="0"/>
        <v>0</v>
      </c>
      <c r="M12" s="190">
        <f t="shared" si="1"/>
        <v>0</v>
      </c>
      <c r="R12" s="190">
        <f>AVERAGE(D16:F16)</f>
        <v>0</v>
      </c>
    </row>
    <row r="13" spans="1:18" ht="15.75" x14ac:dyDescent="0.25">
      <c r="A13" s="191" t="s">
        <v>4</v>
      </c>
      <c r="B13" s="192" t="s">
        <v>227</v>
      </c>
      <c r="C13" s="193" t="s">
        <v>228</v>
      </c>
      <c r="D13" s="196"/>
      <c r="E13" s="196"/>
      <c r="F13" s="196"/>
      <c r="G13" s="197"/>
      <c r="H13" s="199"/>
      <c r="I13" s="200"/>
      <c r="J13" s="201"/>
      <c r="L13" s="190">
        <f t="shared" si="0"/>
        <v>0</v>
      </c>
      <c r="M13" s="190">
        <f t="shared" si="1"/>
        <v>0</v>
      </c>
    </row>
    <row r="14" spans="1:18" ht="15.75" x14ac:dyDescent="0.25">
      <c r="A14" s="191" t="s">
        <v>4</v>
      </c>
      <c r="B14" s="192" t="s">
        <v>229</v>
      </c>
      <c r="C14" s="193" t="s">
        <v>230</v>
      </c>
      <c r="D14" s="196"/>
      <c r="E14" s="196"/>
      <c r="F14" s="196"/>
      <c r="G14" s="197"/>
      <c r="H14" s="197"/>
      <c r="I14" s="197"/>
      <c r="J14" s="201"/>
      <c r="L14" s="190">
        <f t="shared" si="0"/>
        <v>0</v>
      </c>
      <c r="M14" s="190">
        <f t="shared" si="1"/>
        <v>0</v>
      </c>
    </row>
    <row r="15" spans="1:18" ht="15.75" x14ac:dyDescent="0.25">
      <c r="A15" s="191" t="s">
        <v>4</v>
      </c>
      <c r="B15" s="192" t="s">
        <v>231</v>
      </c>
      <c r="C15" s="193" t="s">
        <v>232</v>
      </c>
      <c r="D15" s="202"/>
      <c r="E15" s="202"/>
      <c r="F15" s="202"/>
      <c r="G15" s="203"/>
      <c r="H15" s="203"/>
      <c r="I15" s="203"/>
      <c r="J15" s="201"/>
      <c r="L15" s="190">
        <f t="shared" si="0"/>
        <v>0</v>
      </c>
      <c r="M15" s="190">
        <f t="shared" si="1"/>
        <v>0</v>
      </c>
    </row>
    <row r="16" spans="1:18" ht="15.75" x14ac:dyDescent="0.25">
      <c r="A16" s="204" t="s">
        <v>0</v>
      </c>
      <c r="B16" s="205"/>
      <c r="C16" s="206"/>
      <c r="D16" s="207">
        <f t="shared" ref="D16:I16" si="2">SUM(D10:D15)</f>
        <v>0</v>
      </c>
      <c r="E16" s="207">
        <f t="shared" si="2"/>
        <v>0</v>
      </c>
      <c r="F16" s="207">
        <f t="shared" si="2"/>
        <v>0</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186"/>
      <c r="E21" s="186"/>
      <c r="F21" s="186"/>
      <c r="G21" s="187"/>
      <c r="H21" s="188"/>
      <c r="I21" s="189"/>
      <c r="J21" s="1"/>
      <c r="K21" s="2"/>
      <c r="L21" s="190">
        <f>SUM(D21:F21)</f>
        <v>0</v>
      </c>
      <c r="M21" s="190">
        <f>SUM(G21:I21)</f>
        <v>0</v>
      </c>
    </row>
    <row r="22" spans="1:14" ht="15.75" x14ac:dyDescent="0.25">
      <c r="A22" s="191" t="s">
        <v>4</v>
      </c>
      <c r="B22" s="192" t="s">
        <v>235</v>
      </c>
      <c r="C22" s="193" t="s">
        <v>236</v>
      </c>
      <c r="D22" s="194">
        <v>0</v>
      </c>
      <c r="E22" s="194">
        <v>0</v>
      </c>
      <c r="F22" s="194">
        <v>0</v>
      </c>
      <c r="G22" s="195"/>
      <c r="H22" s="195"/>
      <c r="I22" s="195"/>
      <c r="J22" s="1"/>
      <c r="L22" s="190">
        <f>SUM(D22:F22)</f>
        <v>0</v>
      </c>
      <c r="M22" s="190">
        <f>SUM(G22:I22)</f>
        <v>0</v>
      </c>
    </row>
    <row r="23" spans="1:14" ht="15.75" x14ac:dyDescent="0.25">
      <c r="A23" s="204" t="s">
        <v>0</v>
      </c>
      <c r="B23" s="205"/>
      <c r="C23" s="206"/>
      <c r="D23" s="207">
        <f t="shared" ref="D23:I23" si="3">SUM(D21:D22)</f>
        <v>0</v>
      </c>
      <c r="E23" s="207">
        <f t="shared" si="3"/>
        <v>0</v>
      </c>
      <c r="F23" s="207">
        <f t="shared" si="3"/>
        <v>0</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topLeftCell="A4" zoomScaleNormal="100" workbookViewId="0">
      <selection activeCell="D22" sqref="D22"/>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52</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47.25" x14ac:dyDescent="0.25">
      <c r="A10" s="183" t="s">
        <v>4</v>
      </c>
      <c r="B10" s="184" t="s">
        <v>221</v>
      </c>
      <c r="C10" s="185" t="s">
        <v>222</v>
      </c>
      <c r="D10" s="196">
        <v>3.8</v>
      </c>
      <c r="E10" s="196">
        <v>4</v>
      </c>
      <c r="F10" s="196">
        <v>4</v>
      </c>
      <c r="G10" s="187"/>
      <c r="H10" s="188"/>
      <c r="I10" s="189"/>
      <c r="J10" s="1"/>
      <c r="K10" s="2"/>
      <c r="L10" s="190">
        <f t="shared" ref="L10:L15" si="0">SUM(D10:F10)</f>
        <v>11.8</v>
      </c>
      <c r="M10" s="190">
        <f t="shared" ref="M10:M15" si="1">SUM(G10:I10)</f>
        <v>0</v>
      </c>
    </row>
    <row r="11" spans="1:18" ht="63" x14ac:dyDescent="0.25">
      <c r="A11" s="191" t="s">
        <v>4</v>
      </c>
      <c r="B11" s="192" t="s">
        <v>223</v>
      </c>
      <c r="C11" s="193" t="s">
        <v>224</v>
      </c>
      <c r="D11" s="196">
        <v>3.7297297297297298</v>
      </c>
      <c r="E11" s="196">
        <v>3.7297297297297298</v>
      </c>
      <c r="F11" s="196">
        <v>3.5297297297297301</v>
      </c>
      <c r="G11" s="195"/>
      <c r="H11" s="195"/>
      <c r="I11" s="195"/>
      <c r="J11" s="1"/>
      <c r="L11" s="190">
        <f t="shared" si="0"/>
        <v>10.98918918918919</v>
      </c>
      <c r="M11" s="190">
        <f t="shared" si="1"/>
        <v>0</v>
      </c>
    </row>
    <row r="12" spans="1:18" ht="63" x14ac:dyDescent="0.25">
      <c r="A12" s="191" t="s">
        <v>4</v>
      </c>
      <c r="B12" s="192" t="s">
        <v>225</v>
      </c>
      <c r="C12" s="193" t="s">
        <v>226</v>
      </c>
      <c r="D12" s="196">
        <v>4.0999999999999996</v>
      </c>
      <c r="E12" s="196">
        <v>4.0999999999999996</v>
      </c>
      <c r="F12" s="196">
        <v>3.5</v>
      </c>
      <c r="G12" s="197"/>
      <c r="H12" s="197"/>
      <c r="I12" s="197"/>
      <c r="J12" s="198"/>
      <c r="L12" s="190">
        <f t="shared" si="0"/>
        <v>11.7</v>
      </c>
      <c r="M12" s="190">
        <f t="shared" si="1"/>
        <v>0</v>
      </c>
      <c r="R12" s="190">
        <f>AVERAGE(D16:F16)</f>
        <v>14.506396396396397</v>
      </c>
    </row>
    <row r="13" spans="1:18" ht="15.75" x14ac:dyDescent="0.25">
      <c r="A13" s="191" t="s">
        <v>4</v>
      </c>
      <c r="B13" s="192" t="s">
        <v>227</v>
      </c>
      <c r="C13" s="193" t="s">
        <v>228</v>
      </c>
      <c r="D13" s="196">
        <v>1.3</v>
      </c>
      <c r="E13" s="196">
        <v>1.3</v>
      </c>
      <c r="F13" s="196">
        <v>1.3</v>
      </c>
      <c r="G13" s="197"/>
      <c r="H13" s="199"/>
      <c r="I13" s="200"/>
      <c r="J13" s="201"/>
      <c r="L13" s="190">
        <f t="shared" si="0"/>
        <v>3.9000000000000004</v>
      </c>
      <c r="M13" s="190">
        <f t="shared" si="1"/>
        <v>0</v>
      </c>
    </row>
    <row r="14" spans="1:18" ht="15.75" x14ac:dyDescent="0.25">
      <c r="A14" s="191" t="s">
        <v>4</v>
      </c>
      <c r="B14" s="192" t="s">
        <v>229</v>
      </c>
      <c r="C14" s="193" t="s">
        <v>230</v>
      </c>
      <c r="D14" s="196">
        <v>0.2</v>
      </c>
      <c r="E14" s="196">
        <v>0.2</v>
      </c>
      <c r="F14" s="196">
        <v>0.2</v>
      </c>
      <c r="G14" s="197"/>
      <c r="H14" s="197"/>
      <c r="I14" s="197"/>
      <c r="J14" s="201"/>
      <c r="L14" s="190">
        <f t="shared" si="0"/>
        <v>0.60000000000000009</v>
      </c>
      <c r="M14" s="190">
        <f t="shared" si="1"/>
        <v>0</v>
      </c>
    </row>
    <row r="15" spans="1:18" ht="15.75" x14ac:dyDescent="0.25">
      <c r="A15" s="191" t="s">
        <v>4</v>
      </c>
      <c r="B15" s="192" t="s">
        <v>231</v>
      </c>
      <c r="C15" s="193" t="s">
        <v>232</v>
      </c>
      <c r="D15" s="202">
        <v>1.31</v>
      </c>
      <c r="E15" s="202">
        <v>1.31</v>
      </c>
      <c r="F15" s="202">
        <v>1.91</v>
      </c>
      <c r="G15" s="203"/>
      <c r="H15" s="203"/>
      <c r="I15" s="203"/>
      <c r="J15" s="201"/>
      <c r="L15" s="190">
        <f t="shared" si="0"/>
        <v>4.53</v>
      </c>
      <c r="M15" s="190">
        <f t="shared" si="1"/>
        <v>0</v>
      </c>
    </row>
    <row r="16" spans="1:18" ht="15.75" x14ac:dyDescent="0.25">
      <c r="A16" s="204" t="s">
        <v>0</v>
      </c>
      <c r="B16" s="205"/>
      <c r="C16" s="206"/>
      <c r="D16" s="196">
        <f t="shared" ref="D16:I16" si="2">SUM(D10:D15)</f>
        <v>14.439729729729729</v>
      </c>
      <c r="E16" s="196">
        <f t="shared" si="2"/>
        <v>14.63972972972973</v>
      </c>
      <c r="F16" s="196">
        <f t="shared" si="2"/>
        <v>14.439729729729731</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0.7</v>
      </c>
      <c r="E21" s="210">
        <v>0.7</v>
      </c>
      <c r="F21" s="210">
        <v>0.7</v>
      </c>
      <c r="G21" s="187"/>
      <c r="H21" s="188"/>
      <c r="I21" s="189"/>
      <c r="J21" s="1"/>
      <c r="K21" s="2"/>
      <c r="L21" s="190">
        <f>SUM(D21:F21)</f>
        <v>2.0999999999999996</v>
      </c>
      <c r="M21" s="190">
        <f>SUM(G21:I21)</f>
        <v>0</v>
      </c>
    </row>
    <row r="22" spans="1:14" ht="15.75" x14ac:dyDescent="0.25">
      <c r="A22" s="191" t="s">
        <v>4</v>
      </c>
      <c r="B22" s="192" t="s">
        <v>235</v>
      </c>
      <c r="C22" s="193" t="s">
        <v>239</v>
      </c>
      <c r="D22" s="211">
        <v>0</v>
      </c>
      <c r="E22" s="211">
        <v>0</v>
      </c>
      <c r="F22" s="211">
        <v>0</v>
      </c>
      <c r="G22" s="195"/>
      <c r="H22" s="195"/>
      <c r="I22" s="195"/>
      <c r="J22" s="1"/>
      <c r="L22" s="190">
        <f>SUM(D22:F22)</f>
        <v>0</v>
      </c>
      <c r="M22" s="190">
        <f>SUM(G22:I22)</f>
        <v>0</v>
      </c>
    </row>
    <row r="23" spans="1:14" ht="15.75" x14ac:dyDescent="0.25">
      <c r="A23" s="204" t="s">
        <v>0</v>
      </c>
      <c r="B23" s="205"/>
      <c r="C23" s="206"/>
      <c r="D23" s="207">
        <f t="shared" ref="D23:I23" si="3">SUM(D21:D22)</f>
        <v>0.7</v>
      </c>
      <c r="E23" s="207">
        <f t="shared" si="3"/>
        <v>0.7</v>
      </c>
      <c r="F23" s="207">
        <f t="shared" si="3"/>
        <v>0.7</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zoomScaleNormal="100" workbookViewId="0">
      <selection activeCell="L25" sqref="L2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52</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47.25" x14ac:dyDescent="0.25">
      <c r="A10" s="183" t="s">
        <v>4</v>
      </c>
      <c r="B10" s="184" t="s">
        <v>221</v>
      </c>
      <c r="C10" s="185" t="s">
        <v>222</v>
      </c>
      <c r="D10" s="196">
        <v>4</v>
      </c>
      <c r="E10" s="196">
        <v>4</v>
      </c>
      <c r="F10" s="196">
        <v>4</v>
      </c>
      <c r="G10" s="187"/>
      <c r="H10" s="188"/>
      <c r="I10" s="189"/>
      <c r="J10" s="1"/>
      <c r="K10" s="2"/>
      <c r="L10" s="190">
        <f t="shared" ref="L10:L15" si="0">SUM(D10:F10)</f>
        <v>12</v>
      </c>
      <c r="M10" s="190">
        <f t="shared" ref="M10:M15" si="1">SUM(G10:I10)</f>
        <v>0</v>
      </c>
    </row>
    <row r="11" spans="1:18" ht="63" x14ac:dyDescent="0.25">
      <c r="A11" s="191" t="s">
        <v>4</v>
      </c>
      <c r="B11" s="192" t="s">
        <v>223</v>
      </c>
      <c r="C11" s="193" t="s">
        <v>224</v>
      </c>
      <c r="D11" s="196">
        <v>3.5297297297297301</v>
      </c>
      <c r="E11" s="196">
        <v>3.92972972972973</v>
      </c>
      <c r="F11" s="196">
        <v>3.92972972972973</v>
      </c>
      <c r="G11" s="195"/>
      <c r="H11" s="195"/>
      <c r="I11" s="195"/>
      <c r="J11" s="1"/>
      <c r="L11" s="190">
        <f t="shared" si="0"/>
        <v>11.389189189189189</v>
      </c>
      <c r="M11" s="190">
        <f t="shared" si="1"/>
        <v>0</v>
      </c>
    </row>
    <row r="12" spans="1:18" ht="63" x14ac:dyDescent="0.25">
      <c r="A12" s="191" t="s">
        <v>4</v>
      </c>
      <c r="B12" s="192" t="s">
        <v>225</v>
      </c>
      <c r="C12" s="193" t="s">
        <v>226</v>
      </c>
      <c r="D12" s="196">
        <v>3.5</v>
      </c>
      <c r="E12" s="196">
        <v>3.5</v>
      </c>
      <c r="F12" s="196">
        <v>3.5</v>
      </c>
      <c r="G12" s="197"/>
      <c r="H12" s="197"/>
      <c r="I12" s="197"/>
      <c r="J12" s="198"/>
      <c r="L12" s="190">
        <f t="shared" si="0"/>
        <v>10.5</v>
      </c>
      <c r="M12" s="190">
        <f t="shared" si="1"/>
        <v>0</v>
      </c>
      <c r="R12" s="190">
        <f>AVERAGE(D16:F16)</f>
        <v>15.169729729729729</v>
      </c>
    </row>
    <row r="13" spans="1:18" ht="15.75" x14ac:dyDescent="0.25">
      <c r="A13" s="191" t="s">
        <v>4</v>
      </c>
      <c r="B13" s="192" t="s">
        <v>227</v>
      </c>
      <c r="C13" s="193" t="s">
        <v>228</v>
      </c>
      <c r="D13" s="196">
        <v>1.1000000000000001</v>
      </c>
      <c r="E13" s="196">
        <v>1.05</v>
      </c>
      <c r="F13" s="196">
        <v>0.65</v>
      </c>
      <c r="G13" s="197"/>
      <c r="H13" s="199"/>
      <c r="I13" s="200"/>
      <c r="J13" s="201"/>
      <c r="L13" s="190">
        <f t="shared" si="0"/>
        <v>2.8000000000000003</v>
      </c>
      <c r="M13" s="190">
        <f t="shared" si="1"/>
        <v>0</v>
      </c>
    </row>
    <row r="14" spans="1:18" ht="15.75" x14ac:dyDescent="0.25">
      <c r="A14" s="191" t="s">
        <v>4</v>
      </c>
      <c r="B14" s="192" t="s">
        <v>229</v>
      </c>
      <c r="C14" s="193" t="s">
        <v>230</v>
      </c>
      <c r="D14" s="196">
        <v>0.2</v>
      </c>
      <c r="E14" s="196">
        <v>0.2</v>
      </c>
      <c r="F14" s="196">
        <v>0.2</v>
      </c>
      <c r="G14" s="197"/>
      <c r="H14" s="197"/>
      <c r="I14" s="197"/>
      <c r="J14" s="201"/>
      <c r="L14" s="190">
        <f t="shared" si="0"/>
        <v>0.60000000000000009</v>
      </c>
      <c r="M14" s="190">
        <f t="shared" si="1"/>
        <v>0</v>
      </c>
    </row>
    <row r="15" spans="1:18" ht="15.75" x14ac:dyDescent="0.25">
      <c r="A15" s="191" t="s">
        <v>4</v>
      </c>
      <c r="B15" s="192" t="s">
        <v>231</v>
      </c>
      <c r="C15" s="193" t="s">
        <v>232</v>
      </c>
      <c r="D15" s="202">
        <v>2.4</v>
      </c>
      <c r="E15" s="202">
        <v>2.91</v>
      </c>
      <c r="F15" s="202">
        <v>2.91</v>
      </c>
      <c r="G15" s="203"/>
      <c r="H15" s="203"/>
      <c r="I15" s="203"/>
      <c r="J15" s="201"/>
      <c r="L15" s="190">
        <f t="shared" si="0"/>
        <v>8.2200000000000006</v>
      </c>
      <c r="M15" s="190">
        <f t="shared" si="1"/>
        <v>0</v>
      </c>
    </row>
    <row r="16" spans="1:18" ht="15.75" x14ac:dyDescent="0.25">
      <c r="A16" s="204" t="s">
        <v>0</v>
      </c>
      <c r="B16" s="205"/>
      <c r="C16" s="206"/>
      <c r="D16" s="196">
        <f t="shared" ref="D16:I16" si="2">SUM(D10:D15)</f>
        <v>14.72972972972973</v>
      </c>
      <c r="E16" s="196">
        <f t="shared" si="2"/>
        <v>15.589729729729729</v>
      </c>
      <c r="F16" s="196">
        <f t="shared" si="2"/>
        <v>15.189729729729729</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1.1499999999999999</v>
      </c>
      <c r="E21" s="210">
        <v>1.1499999999999999</v>
      </c>
      <c r="F21" s="210">
        <v>1.1499999999999999</v>
      </c>
      <c r="G21" s="187"/>
      <c r="H21" s="188"/>
      <c r="I21" s="189"/>
      <c r="J21" s="1"/>
      <c r="K21" s="2"/>
      <c r="L21" s="190">
        <f>SUM(D21:F21)</f>
        <v>3.4499999999999997</v>
      </c>
      <c r="M21" s="190">
        <f>SUM(G21:I21)</f>
        <v>0</v>
      </c>
    </row>
    <row r="22" spans="1:14" ht="15.75" x14ac:dyDescent="0.25">
      <c r="A22" s="191" t="s">
        <v>4</v>
      </c>
      <c r="B22" s="192" t="s">
        <v>235</v>
      </c>
      <c r="C22" s="193" t="s">
        <v>239</v>
      </c>
      <c r="D22" s="211">
        <v>0</v>
      </c>
      <c r="E22" s="211">
        <v>0</v>
      </c>
      <c r="F22" s="211">
        <v>0</v>
      </c>
      <c r="G22" s="195"/>
      <c r="H22" s="195"/>
      <c r="I22" s="195"/>
      <c r="J22" s="1"/>
      <c r="L22" s="190">
        <f>SUM(D22:F22)</f>
        <v>0</v>
      </c>
      <c r="M22" s="190">
        <f>SUM(G22:I22)</f>
        <v>0</v>
      </c>
    </row>
    <row r="23" spans="1:14" ht="15.75" x14ac:dyDescent="0.25">
      <c r="A23" s="204" t="s">
        <v>0</v>
      </c>
      <c r="B23" s="205"/>
      <c r="C23" s="206"/>
      <c r="D23" s="207">
        <f t="shared" ref="D23:I23" si="3">SUM(D21:D22)</f>
        <v>1.1499999999999999</v>
      </c>
      <c r="E23" s="207">
        <f t="shared" si="3"/>
        <v>1.1499999999999999</v>
      </c>
      <c r="F23" s="207">
        <f t="shared" si="3"/>
        <v>1.1499999999999999</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topLeftCell="A4" zoomScaleNormal="100" workbookViewId="0">
      <selection activeCell="G15" sqref="G15"/>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52</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63" x14ac:dyDescent="0.25">
      <c r="A10" s="183" t="s">
        <v>4</v>
      </c>
      <c r="B10" s="184" t="s">
        <v>221</v>
      </c>
      <c r="C10" s="185" t="s">
        <v>240</v>
      </c>
      <c r="D10" s="196">
        <v>4</v>
      </c>
      <c r="E10" s="196">
        <v>3.8</v>
      </c>
      <c r="F10" s="196">
        <v>3.8</v>
      </c>
      <c r="G10" s="187"/>
      <c r="H10" s="188"/>
      <c r="I10" s="189"/>
      <c r="J10" s="1"/>
      <c r="K10" s="2"/>
      <c r="L10" s="190">
        <f t="shared" ref="L10:L15" si="0">SUM(D10:F10)</f>
        <v>11.6</v>
      </c>
      <c r="M10" s="190">
        <f t="shared" ref="M10:M15" si="1">SUM(G10:I10)</f>
        <v>0</v>
      </c>
    </row>
    <row r="11" spans="1:18" ht="47.25" x14ac:dyDescent="0.25">
      <c r="A11" s="191" t="s">
        <v>4</v>
      </c>
      <c r="B11" s="192" t="s">
        <v>223</v>
      </c>
      <c r="C11" s="193" t="s">
        <v>241</v>
      </c>
      <c r="D11" s="196">
        <v>3.13</v>
      </c>
      <c r="E11" s="196">
        <v>3.13</v>
      </c>
      <c r="F11" s="196">
        <v>3.13</v>
      </c>
      <c r="G11" s="195"/>
      <c r="H11" s="195"/>
      <c r="I11" s="195"/>
      <c r="J11" s="1"/>
      <c r="L11" s="190">
        <f t="shared" si="0"/>
        <v>9.39</v>
      </c>
      <c r="M11" s="190">
        <f t="shared" si="1"/>
        <v>0</v>
      </c>
    </row>
    <row r="12" spans="1:18" ht="63" x14ac:dyDescent="0.25">
      <c r="A12" s="191" t="s">
        <v>4</v>
      </c>
      <c r="B12" s="192" t="s">
        <v>225</v>
      </c>
      <c r="C12" s="193" t="s">
        <v>242</v>
      </c>
      <c r="D12" s="196">
        <v>3.5</v>
      </c>
      <c r="E12" s="196">
        <v>3.1</v>
      </c>
      <c r="F12" s="196">
        <v>2.9</v>
      </c>
      <c r="G12" s="197"/>
      <c r="H12" s="197"/>
      <c r="I12" s="197"/>
      <c r="J12" s="198"/>
      <c r="L12" s="190">
        <f t="shared" si="0"/>
        <v>9.5</v>
      </c>
      <c r="M12" s="190">
        <f t="shared" si="1"/>
        <v>0</v>
      </c>
      <c r="R12" s="190">
        <f>AVERAGE(D16:F16)</f>
        <v>14.056666666666667</v>
      </c>
    </row>
    <row r="13" spans="1:18" ht="15.75" x14ac:dyDescent="0.25">
      <c r="A13" s="191" t="s">
        <v>4</v>
      </c>
      <c r="B13" s="192" t="s">
        <v>227</v>
      </c>
      <c r="C13" s="193" t="s">
        <v>243</v>
      </c>
      <c r="D13" s="196">
        <v>0.65</v>
      </c>
      <c r="E13" s="196">
        <v>0.65</v>
      </c>
      <c r="F13" s="196">
        <v>1.1499999999999999</v>
      </c>
      <c r="G13" s="197"/>
      <c r="H13" s="199"/>
      <c r="I13" s="200"/>
      <c r="J13" s="201"/>
      <c r="L13" s="190">
        <f t="shared" si="0"/>
        <v>2.4500000000000002</v>
      </c>
      <c r="M13" s="190">
        <f t="shared" si="1"/>
        <v>0</v>
      </c>
    </row>
    <row r="14" spans="1:18" ht="15.75" x14ac:dyDescent="0.25">
      <c r="A14" s="191" t="s">
        <v>4</v>
      </c>
      <c r="B14" s="192" t="s">
        <v>229</v>
      </c>
      <c r="C14" s="193" t="s">
        <v>230</v>
      </c>
      <c r="D14" s="196">
        <v>0.2</v>
      </c>
      <c r="E14" s="196">
        <v>0.2</v>
      </c>
      <c r="F14" s="196">
        <v>0.7</v>
      </c>
      <c r="G14" s="197"/>
      <c r="H14" s="197"/>
      <c r="I14" s="197"/>
      <c r="J14" s="201"/>
      <c r="L14" s="190">
        <f t="shared" si="0"/>
        <v>1.1000000000000001</v>
      </c>
      <c r="M14" s="190">
        <f t="shared" si="1"/>
        <v>0</v>
      </c>
    </row>
    <row r="15" spans="1:18" ht="15.75" x14ac:dyDescent="0.25">
      <c r="A15" s="191" t="s">
        <v>4</v>
      </c>
      <c r="B15" s="192" t="s">
        <v>231</v>
      </c>
      <c r="C15" s="193" t="s">
        <v>244</v>
      </c>
      <c r="D15" s="202">
        <v>2.91</v>
      </c>
      <c r="E15" s="202">
        <v>2.91</v>
      </c>
      <c r="F15" s="202">
        <v>2.31</v>
      </c>
      <c r="G15" s="203"/>
      <c r="H15" s="203"/>
      <c r="I15" s="203"/>
      <c r="J15" s="201"/>
      <c r="L15" s="190">
        <f t="shared" si="0"/>
        <v>8.1300000000000008</v>
      </c>
      <c r="M15" s="190">
        <f t="shared" si="1"/>
        <v>0</v>
      </c>
    </row>
    <row r="16" spans="1:18" ht="15.75" x14ac:dyDescent="0.25">
      <c r="A16" s="204" t="s">
        <v>0</v>
      </c>
      <c r="B16" s="205"/>
      <c r="C16" s="206"/>
      <c r="D16" s="196">
        <f t="shared" ref="D16:I16" si="2">SUM(D10:D15)</f>
        <v>14.389999999999999</v>
      </c>
      <c r="E16" s="196">
        <f t="shared" si="2"/>
        <v>13.79</v>
      </c>
      <c r="F16" s="196">
        <f t="shared" si="2"/>
        <v>13.99</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0.2</v>
      </c>
      <c r="E21" s="210">
        <v>0.2</v>
      </c>
      <c r="F21" s="210">
        <v>0.2</v>
      </c>
      <c r="G21" s="187"/>
      <c r="H21" s="188"/>
      <c r="I21" s="189"/>
      <c r="J21" s="1"/>
      <c r="K21" s="2"/>
      <c r="L21" s="190">
        <f>SUM(D21:F21)</f>
        <v>0.60000000000000009</v>
      </c>
      <c r="M21" s="190">
        <f>SUM(G21:I21)</f>
        <v>0</v>
      </c>
    </row>
    <row r="22" spans="1:14" ht="15.75" x14ac:dyDescent="0.25">
      <c r="A22" s="191" t="s">
        <v>4</v>
      </c>
      <c r="B22" s="192" t="s">
        <v>235</v>
      </c>
      <c r="C22" s="193" t="s">
        <v>239</v>
      </c>
      <c r="D22" s="211">
        <v>0.3</v>
      </c>
      <c r="E22" s="211">
        <v>0.3</v>
      </c>
      <c r="F22" s="211">
        <v>0.3</v>
      </c>
      <c r="G22" s="195"/>
      <c r="H22" s="195"/>
      <c r="I22" s="195"/>
      <c r="J22" s="1"/>
      <c r="L22" s="190">
        <f>SUM(D22:F22)</f>
        <v>0.89999999999999991</v>
      </c>
      <c r="M22" s="190">
        <f>SUM(G22:I22)</f>
        <v>0</v>
      </c>
    </row>
    <row r="23" spans="1:14" ht="15.75" x14ac:dyDescent="0.25">
      <c r="A23" s="204" t="s">
        <v>0</v>
      </c>
      <c r="B23" s="205"/>
      <c r="C23" s="206"/>
      <c r="D23" s="207">
        <f t="shared" ref="D23:I23" si="3">SUM(D21:D22)</f>
        <v>0.5</v>
      </c>
      <c r="E23" s="207">
        <f t="shared" si="3"/>
        <v>0.5</v>
      </c>
      <c r="F23" s="207">
        <f t="shared" si="3"/>
        <v>0.5</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zoomScaleNormal="100" workbookViewId="0">
      <selection activeCell="G3" sqref="G3"/>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186</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63" x14ac:dyDescent="0.25">
      <c r="A10" s="183" t="s">
        <v>4</v>
      </c>
      <c r="B10" s="184" t="s">
        <v>221</v>
      </c>
      <c r="C10" s="185" t="s">
        <v>240</v>
      </c>
      <c r="D10" s="196">
        <v>4.13</v>
      </c>
      <c r="E10" s="196">
        <v>4.13</v>
      </c>
      <c r="F10" s="196">
        <v>4.13</v>
      </c>
      <c r="G10" s="187"/>
      <c r="H10" s="188"/>
      <c r="I10" s="189"/>
      <c r="J10" s="1"/>
      <c r="K10" s="2"/>
      <c r="L10" s="190">
        <f t="shared" ref="L10:L15" si="0">SUM(D10:F10)</f>
        <v>12.39</v>
      </c>
      <c r="M10" s="190">
        <f t="shared" ref="M10:M15" si="1">SUM(G10:I10)</f>
        <v>0</v>
      </c>
    </row>
    <row r="11" spans="1:18" ht="47.25" x14ac:dyDescent="0.25">
      <c r="A11" s="191" t="s">
        <v>4</v>
      </c>
      <c r="B11" s="192" t="s">
        <v>223</v>
      </c>
      <c r="C11" s="193" t="s">
        <v>241</v>
      </c>
      <c r="D11" s="196">
        <v>2.92</v>
      </c>
      <c r="E11" s="196">
        <v>2.92</v>
      </c>
      <c r="F11" s="196">
        <v>2.92</v>
      </c>
      <c r="G11" s="195"/>
      <c r="H11" s="195"/>
      <c r="I11" s="195"/>
      <c r="J11" s="1"/>
      <c r="L11" s="190">
        <f t="shared" si="0"/>
        <v>8.76</v>
      </c>
      <c r="M11" s="190">
        <f t="shared" si="1"/>
        <v>0</v>
      </c>
    </row>
    <row r="12" spans="1:18" ht="63" x14ac:dyDescent="0.25">
      <c r="A12" s="191" t="s">
        <v>4</v>
      </c>
      <c r="B12" s="192" t="s">
        <v>225</v>
      </c>
      <c r="C12" s="193" t="s">
        <v>242</v>
      </c>
      <c r="D12" s="196">
        <v>4.3499999999999996</v>
      </c>
      <c r="E12" s="196">
        <v>4.3499999999999996</v>
      </c>
      <c r="F12" s="196">
        <v>4.3499999999999996</v>
      </c>
      <c r="G12" s="197"/>
      <c r="H12" s="197"/>
      <c r="I12" s="197"/>
      <c r="J12" s="198"/>
      <c r="L12" s="190">
        <f t="shared" si="0"/>
        <v>13.049999999999999</v>
      </c>
      <c r="M12" s="190">
        <f t="shared" si="1"/>
        <v>0</v>
      </c>
      <c r="R12" s="190">
        <f>AVERAGE(D16:F16)</f>
        <v>15.74</v>
      </c>
    </row>
    <row r="13" spans="1:18" ht="31.5" x14ac:dyDescent="0.25">
      <c r="A13" s="191" t="s">
        <v>4</v>
      </c>
      <c r="B13" s="192" t="s">
        <v>227</v>
      </c>
      <c r="C13" s="193" t="s">
        <v>245</v>
      </c>
      <c r="D13" s="196">
        <v>1.1000000000000001</v>
      </c>
      <c r="E13" s="196">
        <v>1.1000000000000001</v>
      </c>
      <c r="F13" s="196">
        <v>1.1000000000000001</v>
      </c>
      <c r="G13" s="197"/>
      <c r="H13" s="199"/>
      <c r="I13" s="200"/>
      <c r="J13" s="201"/>
      <c r="L13" s="190">
        <f t="shared" si="0"/>
        <v>3.3000000000000003</v>
      </c>
      <c r="M13" s="190">
        <f t="shared" si="1"/>
        <v>0</v>
      </c>
    </row>
    <row r="14" spans="1:18" ht="15.75" x14ac:dyDescent="0.25">
      <c r="A14" s="191" t="s">
        <v>4</v>
      </c>
      <c r="B14" s="192" t="s">
        <v>229</v>
      </c>
      <c r="C14" s="193" t="s">
        <v>246</v>
      </c>
      <c r="D14" s="196">
        <v>1</v>
      </c>
      <c r="E14" s="196">
        <v>1</v>
      </c>
      <c r="F14" s="196">
        <v>1</v>
      </c>
      <c r="G14" s="197"/>
      <c r="H14" s="197"/>
      <c r="I14" s="197"/>
      <c r="J14" s="201"/>
      <c r="L14" s="190">
        <f t="shared" si="0"/>
        <v>3</v>
      </c>
      <c r="M14" s="190">
        <f t="shared" si="1"/>
        <v>0</v>
      </c>
    </row>
    <row r="15" spans="1:18" ht="15.75" x14ac:dyDescent="0.25">
      <c r="A15" s="191" t="s">
        <v>4</v>
      </c>
      <c r="B15" s="192" t="s">
        <v>231</v>
      </c>
      <c r="C15" s="193" t="s">
        <v>244</v>
      </c>
      <c r="D15" s="202">
        <v>2.2400000000000002</v>
      </c>
      <c r="E15" s="202">
        <v>2.2400000000000002</v>
      </c>
      <c r="F15" s="202">
        <v>2.2400000000000002</v>
      </c>
      <c r="G15" s="203"/>
      <c r="H15" s="203"/>
      <c r="I15" s="203"/>
      <c r="J15" s="201"/>
      <c r="L15" s="190">
        <f t="shared" si="0"/>
        <v>6.7200000000000006</v>
      </c>
      <c r="M15" s="190">
        <f t="shared" si="1"/>
        <v>0</v>
      </c>
    </row>
    <row r="16" spans="1:18" ht="15.75" x14ac:dyDescent="0.25">
      <c r="A16" s="204" t="s">
        <v>0</v>
      </c>
      <c r="B16" s="205"/>
      <c r="C16" s="206"/>
      <c r="D16" s="196">
        <f t="shared" ref="D16:I16" si="2">SUM(D10:D15)</f>
        <v>15.739999999999998</v>
      </c>
      <c r="E16" s="196">
        <f t="shared" si="2"/>
        <v>15.739999999999998</v>
      </c>
      <c r="F16" s="196">
        <f t="shared" si="2"/>
        <v>15.739999999999998</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0.05</v>
      </c>
      <c r="E21" s="210">
        <v>0.05</v>
      </c>
      <c r="F21" s="210">
        <v>0.45</v>
      </c>
      <c r="G21" s="187"/>
      <c r="H21" s="188"/>
      <c r="I21" s="189"/>
      <c r="J21" s="1"/>
      <c r="K21" s="2"/>
      <c r="L21" s="190">
        <f>SUM(D21:F21)</f>
        <v>0.55000000000000004</v>
      </c>
      <c r="M21" s="190">
        <f>SUM(G21:I21)</f>
        <v>0</v>
      </c>
    </row>
    <row r="22" spans="1:14" ht="15.75" x14ac:dyDescent="0.25">
      <c r="A22" s="191" t="s">
        <v>4</v>
      </c>
      <c r="B22" s="192" t="s">
        <v>235</v>
      </c>
      <c r="C22" s="193" t="s">
        <v>239</v>
      </c>
      <c r="D22" s="211"/>
      <c r="E22" s="211"/>
      <c r="F22" s="211"/>
      <c r="G22" s="195"/>
      <c r="H22" s="195"/>
      <c r="I22" s="195"/>
      <c r="J22" s="1"/>
      <c r="L22" s="190">
        <f>SUM(D22:F22)</f>
        <v>0</v>
      </c>
      <c r="M22" s="190">
        <f>SUM(G22:I22)</f>
        <v>0</v>
      </c>
    </row>
    <row r="23" spans="1:14" ht="15.75" x14ac:dyDescent="0.25">
      <c r="A23" s="204" t="s">
        <v>0</v>
      </c>
      <c r="B23" s="205"/>
      <c r="C23" s="206"/>
      <c r="D23" s="207">
        <f t="shared" ref="D23:I23" si="3">SUM(D21:D22)</f>
        <v>0.05</v>
      </c>
      <c r="E23" s="207">
        <f t="shared" si="3"/>
        <v>0.05</v>
      </c>
      <c r="F23" s="207">
        <f t="shared" si="3"/>
        <v>0.45</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t="s">
        <v>247</v>
      </c>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29"/>
  <sheetViews>
    <sheetView zoomScaleNormal="100" workbookViewId="0">
      <selection activeCell="F22" sqref="F22"/>
    </sheetView>
  </sheetViews>
  <sheetFormatPr defaultColWidth="8.85546875" defaultRowHeight="12.75" x14ac:dyDescent="0.2"/>
  <cols>
    <col min="1" max="1" width="15" customWidth="1"/>
    <col min="2" max="3" width="24.42578125" customWidth="1"/>
    <col min="4" max="4" width="17.42578125" customWidth="1"/>
    <col min="5" max="5" width="13.140625" customWidth="1"/>
    <col min="6" max="6" width="11.42578125"/>
    <col min="7" max="7" width="12.42578125" customWidth="1"/>
    <col min="8" max="8" width="11" customWidth="1"/>
    <col min="9" max="9" width="11.140625" customWidth="1"/>
    <col min="10" max="10" width="18" customWidth="1"/>
    <col min="11" max="11" width="8.85546875" customWidth="1"/>
    <col min="12" max="12" width="12.85546875" customWidth="1"/>
    <col min="13" max="13" width="12.140625" customWidth="1"/>
    <col min="14" max="1025" width="8.85546875" customWidth="1"/>
  </cols>
  <sheetData>
    <row r="1" spans="1:18" ht="15" x14ac:dyDescent="0.2">
      <c r="A1" s="164"/>
      <c r="B1" s="164"/>
      <c r="C1" s="164"/>
      <c r="D1" s="164"/>
      <c r="E1" s="164"/>
      <c r="F1" s="164"/>
      <c r="G1" s="164"/>
      <c r="H1" s="164"/>
      <c r="I1" s="164"/>
      <c r="J1" s="164"/>
      <c r="K1" s="164"/>
    </row>
    <row r="2" spans="1:18" ht="15.75" x14ac:dyDescent="0.25">
      <c r="A2" s="165" t="s">
        <v>1</v>
      </c>
      <c r="B2" s="166"/>
      <c r="E2" s="164"/>
      <c r="F2" s="164"/>
      <c r="G2" s="164"/>
      <c r="H2" s="164"/>
      <c r="I2" s="164"/>
    </row>
    <row r="3" spans="1:18" ht="15.75" x14ac:dyDescent="0.25">
      <c r="A3" s="167" t="s">
        <v>3</v>
      </c>
      <c r="B3" s="168" t="s">
        <v>4</v>
      </c>
      <c r="E3" s="164"/>
      <c r="F3" s="164"/>
      <c r="G3" s="164"/>
      <c r="H3" s="164"/>
      <c r="I3" s="164"/>
    </row>
    <row r="4" spans="1:18" ht="15.75" x14ac:dyDescent="0.25">
      <c r="A4" s="169" t="s">
        <v>6</v>
      </c>
      <c r="B4" s="10" t="str">
        <f>Metrics!B4</f>
        <v>Q418</v>
      </c>
      <c r="E4" s="164"/>
      <c r="F4" s="164"/>
      <c r="G4" s="164"/>
      <c r="H4" s="164"/>
      <c r="I4" s="164"/>
      <c r="L4">
        <v>16.325405405405402</v>
      </c>
      <c r="M4">
        <v>15.625405405405401</v>
      </c>
      <c r="N4">
        <v>15.4754054054054</v>
      </c>
      <c r="O4">
        <v>16.105405405405399</v>
      </c>
      <c r="P4">
        <v>15.605405405405399</v>
      </c>
      <c r="Q4">
        <v>15.605405405405399</v>
      </c>
    </row>
    <row r="5" spans="1:18" ht="15.75" x14ac:dyDescent="0.25">
      <c r="A5" s="170" t="s">
        <v>9</v>
      </c>
      <c r="B5" s="171" t="s">
        <v>186</v>
      </c>
      <c r="E5" s="164"/>
      <c r="F5" s="164"/>
      <c r="G5" s="164"/>
      <c r="H5" s="164"/>
      <c r="I5" s="164"/>
    </row>
    <row r="6" spans="1:18" ht="15" x14ac:dyDescent="0.2">
      <c r="A6" s="164"/>
      <c r="B6" s="164"/>
      <c r="C6" s="164"/>
      <c r="D6" s="164"/>
      <c r="E6" s="164"/>
      <c r="F6" s="164"/>
      <c r="G6" s="164"/>
      <c r="H6" s="164"/>
      <c r="I6" s="164"/>
    </row>
    <row r="7" spans="1:18" ht="15.75" x14ac:dyDescent="0.25">
      <c r="A7" s="172" t="s">
        <v>212</v>
      </c>
      <c r="B7" s="172"/>
      <c r="C7" s="172"/>
      <c r="D7" s="164"/>
      <c r="E7" s="164"/>
      <c r="F7" s="164"/>
      <c r="G7" s="164"/>
      <c r="H7" s="164"/>
      <c r="I7" s="164"/>
    </row>
    <row r="8" spans="1:18" ht="13.5" customHeight="1" x14ac:dyDescent="0.25">
      <c r="A8" s="173"/>
      <c r="B8" s="174"/>
      <c r="C8" s="175"/>
      <c r="D8" s="238" t="s">
        <v>213</v>
      </c>
      <c r="E8" s="238"/>
      <c r="F8" s="238"/>
      <c r="G8" s="239" t="s">
        <v>214</v>
      </c>
      <c r="H8" s="239"/>
      <c r="I8" s="239"/>
      <c r="O8">
        <f>AVERAGE(L4:Q4)/17.5</f>
        <v>0.90230888030888001</v>
      </c>
    </row>
    <row r="9" spans="1:18" ht="31.5" x14ac:dyDescent="0.25">
      <c r="A9" s="176" t="s">
        <v>215</v>
      </c>
      <c r="B9" s="177" t="s">
        <v>216</v>
      </c>
      <c r="C9" s="177" t="s">
        <v>217</v>
      </c>
      <c r="D9" s="178" t="s">
        <v>218</v>
      </c>
      <c r="E9" s="179" t="s">
        <v>219</v>
      </c>
      <c r="F9" s="180" t="s">
        <v>220</v>
      </c>
      <c r="G9" s="181" t="s">
        <v>218</v>
      </c>
      <c r="H9" s="179" t="s">
        <v>219</v>
      </c>
      <c r="I9" s="182" t="s">
        <v>220</v>
      </c>
    </row>
    <row r="10" spans="1:18" ht="31.5" x14ac:dyDescent="0.25">
      <c r="A10" s="183" t="s">
        <v>4</v>
      </c>
      <c r="B10" s="184" t="s">
        <v>221</v>
      </c>
      <c r="C10" s="185" t="s">
        <v>248</v>
      </c>
      <c r="D10" s="196">
        <v>4.3600000000000003</v>
      </c>
      <c r="E10" s="196">
        <v>4.2300000000000004</v>
      </c>
      <c r="F10" s="196">
        <v>3.75</v>
      </c>
      <c r="G10" s="187"/>
      <c r="H10" s="188"/>
      <c r="I10" s="189"/>
      <c r="J10" s="1"/>
      <c r="K10" s="2"/>
      <c r="L10" s="190">
        <f t="shared" ref="L10:L15" si="0">SUM(D10:F10)</f>
        <v>12.34</v>
      </c>
      <c r="M10" s="190">
        <f t="shared" ref="M10:M15" si="1">SUM(G10:I10)</f>
        <v>0</v>
      </c>
    </row>
    <row r="11" spans="1:18" ht="47.25" x14ac:dyDescent="0.25">
      <c r="A11" s="191" t="s">
        <v>4</v>
      </c>
      <c r="B11" s="192" t="s">
        <v>223</v>
      </c>
      <c r="C11" s="193" t="s">
        <v>249</v>
      </c>
      <c r="D11" s="196">
        <v>2.76</v>
      </c>
      <c r="E11" s="196">
        <v>3.23</v>
      </c>
      <c r="F11" s="196">
        <v>2.72</v>
      </c>
      <c r="G11" s="195"/>
      <c r="H11" s="195"/>
      <c r="I11" s="195"/>
      <c r="J11" s="1"/>
      <c r="L11" s="190">
        <f t="shared" si="0"/>
        <v>8.7100000000000009</v>
      </c>
      <c r="M11" s="190">
        <f t="shared" si="1"/>
        <v>0</v>
      </c>
    </row>
    <row r="12" spans="1:18" ht="63" x14ac:dyDescent="0.25">
      <c r="A12" s="191" t="s">
        <v>4</v>
      </c>
      <c r="B12" s="192" t="s">
        <v>225</v>
      </c>
      <c r="C12" s="193" t="s">
        <v>250</v>
      </c>
      <c r="D12" s="196">
        <v>4.7</v>
      </c>
      <c r="E12" s="196">
        <v>4.0999999999999996</v>
      </c>
      <c r="F12" s="196">
        <v>4.5999999999999996</v>
      </c>
      <c r="G12" s="197"/>
      <c r="H12" s="197"/>
      <c r="I12" s="197"/>
      <c r="J12" s="198"/>
      <c r="L12" s="190">
        <f t="shared" si="0"/>
        <v>13.4</v>
      </c>
      <c r="M12" s="190">
        <f t="shared" si="1"/>
        <v>0</v>
      </c>
      <c r="R12" s="190">
        <f>AVERAGE(D16:F16)</f>
        <v>15.763333333333335</v>
      </c>
    </row>
    <row r="13" spans="1:18" ht="31.5" x14ac:dyDescent="0.25">
      <c r="A13" s="191" t="s">
        <v>4</v>
      </c>
      <c r="B13" s="192" t="s">
        <v>227</v>
      </c>
      <c r="C13" s="193" t="s">
        <v>245</v>
      </c>
      <c r="D13" s="196">
        <v>1</v>
      </c>
      <c r="E13" s="196">
        <v>1.0900000000000001</v>
      </c>
      <c r="F13" s="196">
        <v>1.1399999999999999</v>
      </c>
      <c r="G13" s="197"/>
      <c r="H13" s="199"/>
      <c r="I13" s="200"/>
      <c r="J13" s="201"/>
      <c r="L13" s="190">
        <f t="shared" si="0"/>
        <v>3.2299999999999995</v>
      </c>
      <c r="M13" s="190">
        <f t="shared" si="1"/>
        <v>0</v>
      </c>
    </row>
    <row r="14" spans="1:18" ht="15.75" x14ac:dyDescent="0.25">
      <c r="A14" s="191" t="s">
        <v>4</v>
      </c>
      <c r="B14" s="192" t="s">
        <v>229</v>
      </c>
      <c r="C14" s="193" t="s">
        <v>246</v>
      </c>
      <c r="D14" s="196">
        <v>1</v>
      </c>
      <c r="E14" s="196">
        <v>1</v>
      </c>
      <c r="F14" s="196">
        <v>1</v>
      </c>
      <c r="G14" s="197"/>
      <c r="H14" s="197"/>
      <c r="I14" s="197"/>
      <c r="J14" s="201"/>
      <c r="L14" s="190">
        <f t="shared" si="0"/>
        <v>3</v>
      </c>
      <c r="M14" s="190">
        <f t="shared" si="1"/>
        <v>0</v>
      </c>
    </row>
    <row r="15" spans="1:18" ht="15.75" x14ac:dyDescent="0.25">
      <c r="A15" s="191" t="s">
        <v>4</v>
      </c>
      <c r="B15" s="192" t="s">
        <v>231</v>
      </c>
      <c r="C15" s="193" t="s">
        <v>244</v>
      </c>
      <c r="D15" s="202">
        <v>2.14</v>
      </c>
      <c r="E15" s="202">
        <v>2.41</v>
      </c>
      <c r="F15" s="202">
        <v>2.06</v>
      </c>
      <c r="G15" s="203"/>
      <c r="H15" s="203"/>
      <c r="I15" s="203"/>
      <c r="J15" s="201"/>
      <c r="L15" s="190">
        <f t="shared" si="0"/>
        <v>6.6100000000000012</v>
      </c>
      <c r="M15" s="190">
        <f t="shared" si="1"/>
        <v>0</v>
      </c>
    </row>
    <row r="16" spans="1:18" ht="15.75" x14ac:dyDescent="0.25">
      <c r="A16" s="204" t="s">
        <v>0</v>
      </c>
      <c r="B16" s="205"/>
      <c r="C16" s="206"/>
      <c r="D16" s="196">
        <f t="shared" ref="D16:I16" si="2">SUM(D10:D15)</f>
        <v>15.96</v>
      </c>
      <c r="E16" s="196">
        <f t="shared" si="2"/>
        <v>16.060000000000002</v>
      </c>
      <c r="F16" s="196">
        <f t="shared" si="2"/>
        <v>15.270000000000001</v>
      </c>
      <c r="G16" s="207">
        <f t="shared" si="2"/>
        <v>0</v>
      </c>
      <c r="H16" s="207">
        <f t="shared" si="2"/>
        <v>0</v>
      </c>
      <c r="I16" s="207">
        <f t="shared" si="2"/>
        <v>0</v>
      </c>
      <c r="N16" s="190"/>
    </row>
    <row r="17" spans="1:14" ht="15" x14ac:dyDescent="0.2">
      <c r="A17" s="164"/>
      <c r="B17" s="164"/>
      <c r="C17" s="164"/>
      <c r="D17" s="164"/>
      <c r="E17" s="164"/>
      <c r="F17" s="208"/>
      <c r="G17" s="164"/>
      <c r="H17" s="164"/>
      <c r="I17" s="164"/>
      <c r="J17" s="164"/>
      <c r="K17" s="164"/>
    </row>
    <row r="18" spans="1:14" ht="15" x14ac:dyDescent="0.2">
      <c r="A18" s="164"/>
      <c r="B18" s="164"/>
      <c r="C18" s="164"/>
      <c r="D18" s="164"/>
      <c r="E18" s="164"/>
      <c r="F18" s="164"/>
      <c r="G18" s="164"/>
      <c r="H18" s="208"/>
      <c r="I18" s="164"/>
      <c r="J18" s="164"/>
      <c r="K18" s="164"/>
    </row>
    <row r="19" spans="1:14" ht="13.5" customHeight="1" x14ac:dyDescent="0.25">
      <c r="A19" s="173"/>
      <c r="B19" s="174"/>
      <c r="C19" s="175"/>
      <c r="D19" s="238" t="s">
        <v>213</v>
      </c>
      <c r="E19" s="238"/>
      <c r="F19" s="238"/>
      <c r="G19" s="239" t="s">
        <v>214</v>
      </c>
      <c r="H19" s="239"/>
      <c r="I19" s="239"/>
    </row>
    <row r="20" spans="1:14" ht="31.5" x14ac:dyDescent="0.25">
      <c r="A20" s="176" t="s">
        <v>215</v>
      </c>
      <c r="B20" s="177" t="s">
        <v>216</v>
      </c>
      <c r="C20" s="177" t="s">
        <v>217</v>
      </c>
      <c r="D20" s="178" t="s">
        <v>218</v>
      </c>
      <c r="E20" s="179" t="s">
        <v>219</v>
      </c>
      <c r="F20" s="180" t="s">
        <v>220</v>
      </c>
      <c r="G20" s="181" t="s">
        <v>218</v>
      </c>
      <c r="H20" s="179" t="s">
        <v>219</v>
      </c>
      <c r="I20" s="182" t="s">
        <v>220</v>
      </c>
    </row>
    <row r="21" spans="1:14" ht="15.75" x14ac:dyDescent="0.25">
      <c r="A21" s="183" t="s">
        <v>4</v>
      </c>
      <c r="B21" s="184" t="s">
        <v>233</v>
      </c>
      <c r="C21" s="185" t="s">
        <v>234</v>
      </c>
      <c r="D21" s="210">
        <v>0.45</v>
      </c>
      <c r="E21" s="210">
        <v>0.25</v>
      </c>
      <c r="F21" s="210">
        <v>0.25</v>
      </c>
      <c r="G21" s="187"/>
      <c r="H21" s="188"/>
      <c r="I21" s="189"/>
      <c r="J21" s="1"/>
      <c r="K21" s="2"/>
      <c r="L21" s="190">
        <f>SUM(D21:F21)</f>
        <v>0.95</v>
      </c>
      <c r="M21" s="190">
        <f>SUM(G21:I21)</f>
        <v>0</v>
      </c>
    </row>
    <row r="22" spans="1:14" ht="15.75" x14ac:dyDescent="0.25">
      <c r="A22" s="191" t="s">
        <v>4</v>
      </c>
      <c r="B22" s="192" t="s">
        <v>235</v>
      </c>
      <c r="C22" s="193" t="s">
        <v>239</v>
      </c>
      <c r="D22" s="211"/>
      <c r="E22" s="211"/>
      <c r="F22" s="211"/>
      <c r="G22" s="195"/>
      <c r="H22" s="195"/>
      <c r="I22" s="195"/>
      <c r="J22" s="1"/>
      <c r="L22" s="190">
        <f>SUM(D22:F22)</f>
        <v>0</v>
      </c>
      <c r="M22" s="190">
        <f>SUM(G22:I22)</f>
        <v>0</v>
      </c>
    </row>
    <row r="23" spans="1:14" ht="15.75" x14ac:dyDescent="0.25">
      <c r="A23" s="204" t="s">
        <v>0</v>
      </c>
      <c r="B23" s="205"/>
      <c r="C23" s="206"/>
      <c r="D23" s="207">
        <f t="shared" ref="D23:I23" si="3">SUM(D21:D22)</f>
        <v>0.45</v>
      </c>
      <c r="E23" s="207">
        <f t="shared" si="3"/>
        <v>0.25</v>
      </c>
      <c r="F23" s="207">
        <f t="shared" si="3"/>
        <v>0.25</v>
      </c>
      <c r="G23" s="207">
        <f t="shared" si="3"/>
        <v>0</v>
      </c>
      <c r="H23" s="207">
        <f t="shared" si="3"/>
        <v>0</v>
      </c>
      <c r="I23" s="207">
        <f t="shared" si="3"/>
        <v>0</v>
      </c>
    </row>
    <row r="24" spans="1:14" ht="15" x14ac:dyDescent="0.2">
      <c r="A24" s="164"/>
      <c r="B24" s="164"/>
      <c r="C24" s="164"/>
      <c r="D24" s="164"/>
      <c r="E24" s="164"/>
      <c r="F24" s="164"/>
      <c r="G24" s="164"/>
      <c r="H24" s="164"/>
      <c r="I24" s="164"/>
      <c r="J24" s="164"/>
      <c r="K24" s="164"/>
    </row>
    <row r="25" spans="1:14" ht="15" x14ac:dyDescent="0.2">
      <c r="A25" s="164" t="s">
        <v>247</v>
      </c>
      <c r="B25" s="164"/>
      <c r="C25" s="164"/>
      <c r="D25" s="164"/>
      <c r="E25" s="164"/>
      <c r="F25" s="164"/>
      <c r="G25" s="164"/>
      <c r="H25" s="164"/>
      <c r="I25" s="164"/>
      <c r="J25" s="164"/>
      <c r="K25" s="164"/>
    </row>
    <row r="26" spans="1:14" ht="15" x14ac:dyDescent="0.2">
      <c r="A26" s="164"/>
      <c r="B26" s="164"/>
      <c r="C26" s="164"/>
      <c r="D26" s="164"/>
      <c r="E26" s="164"/>
      <c r="F26" s="164"/>
      <c r="G26" s="164"/>
      <c r="H26" s="164"/>
      <c r="I26" s="164"/>
      <c r="J26" s="164"/>
      <c r="K26" s="164"/>
    </row>
    <row r="27" spans="1:14" ht="15" x14ac:dyDescent="0.2">
      <c r="A27" s="209"/>
      <c r="B27" s="164"/>
      <c r="C27" s="164"/>
      <c r="D27" s="164"/>
      <c r="E27" s="164"/>
      <c r="F27" s="164"/>
      <c r="G27" s="164"/>
      <c r="H27" s="164"/>
      <c r="I27" s="164"/>
      <c r="J27" s="164"/>
      <c r="K27" s="164"/>
      <c r="N27" s="190"/>
    </row>
    <row r="28" spans="1:14" ht="15" x14ac:dyDescent="0.2">
      <c r="A28" s="164" t="s">
        <v>237</v>
      </c>
      <c r="B28" s="164"/>
      <c r="C28" s="164"/>
      <c r="D28" s="164"/>
      <c r="E28" s="164"/>
      <c r="F28" s="164"/>
      <c r="G28" s="164"/>
      <c r="H28" s="164"/>
      <c r="I28" s="164"/>
      <c r="J28" s="164"/>
      <c r="K28" s="164"/>
    </row>
    <row r="29" spans="1:14" ht="15" x14ac:dyDescent="0.2">
      <c r="A29" s="164" t="s">
        <v>238</v>
      </c>
      <c r="B29" s="164"/>
      <c r="C29" s="164"/>
      <c r="D29" s="164"/>
      <c r="E29" s="164"/>
      <c r="F29" s="164"/>
      <c r="G29" s="164"/>
      <c r="H29" s="164"/>
      <c r="I29" s="164"/>
      <c r="J29" s="164"/>
      <c r="K29" s="164"/>
    </row>
  </sheetData>
  <mergeCells count="4">
    <mergeCell ref="D8:F8"/>
    <mergeCell ref="G8:I8"/>
    <mergeCell ref="D19:F19"/>
    <mergeCell ref="G19:I19"/>
  </mergeCells>
  <pageMargins left="0.74791666666666701" right="0.74791666666666701" top="0.98402777777777795" bottom="0.98402777777777795" header="0.51180555555555496" footer="0.51180555555555496"/>
  <pageSetup firstPageNumber="0" orientation="landscape" horizontalDpi="300" verticalDpi="300"/>
  <drawing r:id="rId1"/>
  <legacyDrawing r:id="rId2"/>
</worksheet>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4" baseType="variant">
      <vt:variant>
        <vt:lpstr>Worksheets</vt:lpstr>
      </vt:variant>
      <vt:variant>
        <vt:i4>19</vt:i4>
      </vt:variant>
      <vt:variant>
        <vt:lpstr>Named Ranges</vt:lpstr>
      </vt:variant>
      <vt:variant>
        <vt:i4>2</vt:i4>
      </vt:variant>
    </vt:vector>
  </HeadingPairs>
  <TitlesOfParts>
    <vt:vector size="21" baseType="lpstr">
      <vt:lpstr>Metrics</vt:lpstr>
      <vt:lpstr>Milestones</vt:lpstr>
      <vt:lpstr>Manpower Q117</vt:lpstr>
      <vt:lpstr>Manpower Q217</vt:lpstr>
      <vt:lpstr>Manpower Q317</vt:lpstr>
      <vt:lpstr>Manpower Q417</vt:lpstr>
      <vt:lpstr>Manpower Q118</vt:lpstr>
      <vt:lpstr>Manpower Q218</vt:lpstr>
      <vt:lpstr>Manpower Q318</vt:lpstr>
      <vt:lpstr>Manpower Q418</vt:lpstr>
      <vt:lpstr>Narrative Q117</vt:lpstr>
      <vt:lpstr>Narrative Q217</vt:lpstr>
      <vt:lpstr>Narrative Q317</vt:lpstr>
      <vt:lpstr>Narrative Q417</vt:lpstr>
      <vt:lpstr>Narrative Q118</vt:lpstr>
      <vt:lpstr>Narrative Q218</vt:lpstr>
      <vt:lpstr>Narrative Q318</vt:lpstr>
      <vt:lpstr>Narrative Q418</vt:lpstr>
      <vt:lpstr>EVAL</vt:lpstr>
      <vt:lpstr>Metrics!_FilterDatabase</vt:lpstr>
      <vt:lpstr>Milestones!_FilterDatabase</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Peter Gronbech</cp:lastModifiedBy>
  <cp:revision>2</cp:revision>
  <cp:lastPrinted>2016-05-25T14:55:34Z</cp:lastPrinted>
  <dcterms:created xsi:type="dcterms:W3CDTF">2006-07-17T09:56:01Z</dcterms:created>
  <dcterms:modified xsi:type="dcterms:W3CDTF">2019-04-29T18:54:04Z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