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H:\files\excel\PMB\Quarterly Reports\2018\Q2\"/>
    </mc:Choice>
  </mc:AlternateContent>
  <bookViews>
    <workbookView xWindow="0" yWindow="2715" windowWidth="24255" windowHeight="11205" tabRatio="579"/>
  </bookViews>
  <sheets>
    <sheet name="Metrics" sheetId="5" r:id="rId1"/>
    <sheet name="Milestones" sheetId="6" r:id="rId2"/>
    <sheet name="Manpower Q117" sheetId="24" r:id="rId3"/>
    <sheet name="Manpower Q217" sheetId="25" r:id="rId4"/>
    <sheet name="Manpower Q317" sheetId="27" r:id="rId5"/>
    <sheet name="Manpower Q417" sheetId="29" r:id="rId6"/>
    <sheet name="Manpower Q118" sheetId="31" r:id="rId7"/>
    <sheet name="Manpower Q218" sheetId="33" r:id="rId8"/>
    <sheet name="Narrative Q117" sheetId="23" r:id="rId9"/>
    <sheet name="Narrative Q217" sheetId="26" r:id="rId10"/>
    <sheet name="Narrative Q317" sheetId="28" r:id="rId11"/>
    <sheet name="Narrative Q417" sheetId="30" r:id="rId12"/>
    <sheet name="Narrative Q118" sheetId="32" r:id="rId13"/>
    <sheet name="Narrative Q218" sheetId="34" r:id="rId14"/>
    <sheet name="EVAL" sheetId="8" r:id="rId15"/>
  </sheets>
  <definedNames>
    <definedName name="_xlnm._FilterDatabase" localSheetId="0" hidden="1">Metrics!$A$8:$K$40</definedName>
    <definedName name="_xlnm._FilterDatabase" localSheetId="1" hidden="1">Milestones!$8:$30</definedName>
  </definedNames>
  <calcPr calcId="162913"/>
</workbook>
</file>

<file path=xl/calcChain.xml><?xml version="1.0" encoding="utf-8"?>
<calcChain xmlns="http://schemas.openxmlformats.org/spreadsheetml/2006/main">
  <c r="L11" i="33" l="1"/>
  <c r="M11" i="33"/>
  <c r="L30" i="5" l="1"/>
  <c r="L22" i="5"/>
  <c r="K22" i="5"/>
  <c r="L21" i="5"/>
  <c r="K21" i="5"/>
  <c r="L40" i="5" l="1"/>
  <c r="K40" i="5"/>
  <c r="L39" i="5"/>
  <c r="K39" i="5"/>
  <c r="L38" i="5"/>
  <c r="K38" i="5"/>
  <c r="L37" i="5"/>
  <c r="K37" i="5"/>
  <c r="L36" i="5"/>
  <c r="K36" i="5"/>
  <c r="L35" i="5"/>
  <c r="K35" i="5"/>
  <c r="L34" i="5"/>
  <c r="K34" i="5"/>
  <c r="L33" i="5"/>
  <c r="L32" i="5"/>
  <c r="L31" i="5"/>
  <c r="K31" i="5"/>
  <c r="K30" i="5"/>
  <c r="L28" i="5"/>
  <c r="L27" i="5"/>
  <c r="K27" i="5"/>
  <c r="L26" i="5"/>
  <c r="L25" i="5"/>
  <c r="K25" i="5"/>
  <c r="L24" i="5"/>
  <c r="K24" i="5"/>
  <c r="L23" i="5"/>
  <c r="K23" i="5"/>
  <c r="L20" i="5"/>
  <c r="K20" i="5"/>
  <c r="L19" i="5"/>
  <c r="L18" i="5"/>
  <c r="K18" i="5"/>
  <c r="L17" i="5" l="1"/>
  <c r="K17" i="5"/>
  <c r="L10" i="5"/>
  <c r="K10" i="5"/>
  <c r="L9" i="5"/>
  <c r="K9" i="5"/>
  <c r="B5" i="34" l="1"/>
  <c r="B4" i="34"/>
  <c r="B3" i="34"/>
  <c r="I23" i="33"/>
  <c r="H23" i="33"/>
  <c r="G23" i="33"/>
  <c r="F23" i="33"/>
  <c r="E23" i="33"/>
  <c r="D23" i="33"/>
  <c r="M22" i="33"/>
  <c r="L22" i="33"/>
  <c r="M21" i="33"/>
  <c r="L21" i="33"/>
  <c r="I16" i="33"/>
  <c r="H16" i="33"/>
  <c r="G16" i="33"/>
  <c r="F16" i="33"/>
  <c r="E16" i="33"/>
  <c r="D16" i="33"/>
  <c r="R12" i="33" s="1"/>
  <c r="M15" i="33"/>
  <c r="L15" i="33"/>
  <c r="M14" i="33"/>
  <c r="L14" i="33"/>
  <c r="M13" i="33"/>
  <c r="L13" i="33"/>
  <c r="M12" i="33"/>
  <c r="L12" i="33"/>
  <c r="M10" i="33"/>
  <c r="L10" i="33"/>
  <c r="O8" i="33"/>
  <c r="B4" i="33"/>
  <c r="J30" i="5" l="1"/>
  <c r="K28" i="5"/>
  <c r="J28" i="5"/>
  <c r="J35" i="5" l="1"/>
  <c r="J36" i="5" l="1"/>
  <c r="J40" i="5" l="1"/>
  <c r="J39" i="5"/>
  <c r="J38" i="5"/>
  <c r="J37" i="5"/>
  <c r="J23" i="5"/>
  <c r="J22" i="5"/>
  <c r="J21" i="5"/>
  <c r="K19" i="5"/>
  <c r="J18" i="5"/>
  <c r="J17" i="5"/>
  <c r="J9" i="5"/>
  <c r="K26" i="5"/>
  <c r="J24" i="5"/>
  <c r="K33" i="5"/>
  <c r="K32" i="5"/>
  <c r="J32" i="5"/>
  <c r="J31" i="5"/>
  <c r="B5" i="32" l="1"/>
  <c r="B4" i="32"/>
  <c r="B3" i="32"/>
  <c r="I23" i="31"/>
  <c r="H23" i="31"/>
  <c r="G23" i="31"/>
  <c r="F23" i="31"/>
  <c r="E23" i="31"/>
  <c r="D23" i="31"/>
  <c r="M22" i="31"/>
  <c r="L22" i="31"/>
  <c r="M21" i="31"/>
  <c r="L21" i="31"/>
  <c r="I16" i="31"/>
  <c r="H16" i="31"/>
  <c r="G16" i="31"/>
  <c r="F16" i="31"/>
  <c r="E16" i="31"/>
  <c r="D16" i="31"/>
  <c r="M15" i="31"/>
  <c r="L15" i="31"/>
  <c r="M14" i="31"/>
  <c r="L14" i="31"/>
  <c r="M13" i="31"/>
  <c r="L13" i="31"/>
  <c r="M12" i="31"/>
  <c r="L12" i="31"/>
  <c r="M11" i="31"/>
  <c r="L11" i="31"/>
  <c r="M10" i="31"/>
  <c r="L10" i="31"/>
  <c r="O8" i="31"/>
  <c r="B4" i="31"/>
  <c r="R12" i="31" l="1"/>
  <c r="I22" i="5"/>
  <c r="I21" i="5"/>
  <c r="J27" i="5" l="1"/>
  <c r="J25" i="5"/>
  <c r="J26" i="5"/>
  <c r="I26" i="5"/>
  <c r="I25" i="5"/>
  <c r="I24" i="5"/>
  <c r="G35" i="5"/>
  <c r="I36" i="5"/>
  <c r="I9" i="5" l="1"/>
  <c r="J10" i="5"/>
  <c r="I10" i="5"/>
  <c r="H23" i="5"/>
  <c r="I28" i="5"/>
  <c r="I30" i="5"/>
  <c r="I40" i="5"/>
  <c r="I39" i="5"/>
  <c r="I38" i="5"/>
  <c r="I37" i="5"/>
  <c r="J20" i="5"/>
  <c r="I20" i="5"/>
  <c r="J19" i="5"/>
  <c r="I19" i="5"/>
  <c r="I18" i="5"/>
  <c r="I17" i="5"/>
  <c r="J34" i="5"/>
  <c r="J33" i="5"/>
  <c r="I33" i="5"/>
  <c r="I32" i="5"/>
  <c r="I31" i="5"/>
  <c r="B5" i="30" l="1"/>
  <c r="B4" i="30"/>
  <c r="B3" i="30"/>
  <c r="I23" i="29"/>
  <c r="H23" i="29"/>
  <c r="G23" i="29"/>
  <c r="F23" i="29"/>
  <c r="E23" i="29"/>
  <c r="D23" i="29"/>
  <c r="M22" i="29"/>
  <c r="L22" i="29"/>
  <c r="M21" i="29"/>
  <c r="L21" i="29"/>
  <c r="I16" i="29"/>
  <c r="H16" i="29"/>
  <c r="G16" i="29"/>
  <c r="F16" i="29"/>
  <c r="E16" i="29"/>
  <c r="D16" i="29"/>
  <c r="R12" i="29" s="1"/>
  <c r="M15" i="29"/>
  <c r="L15" i="29"/>
  <c r="M14" i="29"/>
  <c r="L14" i="29"/>
  <c r="M13" i="29"/>
  <c r="L13" i="29"/>
  <c r="M12" i="29"/>
  <c r="L12" i="29"/>
  <c r="M11" i="29"/>
  <c r="L11" i="29"/>
  <c r="M10" i="29"/>
  <c r="L10" i="29"/>
  <c r="O8" i="29"/>
  <c r="B4" i="29"/>
  <c r="H36" i="5" l="1"/>
  <c r="I35" i="5" l="1"/>
  <c r="H35" i="5"/>
  <c r="H10" i="5" l="1"/>
  <c r="H19" i="5"/>
  <c r="H38" i="5"/>
  <c r="H37" i="5"/>
  <c r="H18" i="5"/>
  <c r="G18" i="5"/>
  <c r="H28" i="5"/>
  <c r="I27" i="5"/>
  <c r="H26" i="5"/>
  <c r="H24" i="5"/>
  <c r="H25" i="5"/>
  <c r="I23" i="5"/>
  <c r="H22" i="5"/>
  <c r="H21" i="5"/>
  <c r="G10" i="5"/>
  <c r="G20" i="5"/>
  <c r="G19" i="5"/>
  <c r="G17" i="5"/>
  <c r="G9" i="5"/>
  <c r="H40" i="5"/>
  <c r="G39" i="5"/>
  <c r="G38" i="5"/>
  <c r="G37" i="5"/>
  <c r="H30" i="5"/>
  <c r="I34" i="5"/>
  <c r="H34" i="5"/>
  <c r="H33" i="5"/>
  <c r="H32" i="5"/>
  <c r="H31" i="5"/>
  <c r="B5" i="28" l="1"/>
  <c r="B4" i="28"/>
  <c r="B3" i="28"/>
  <c r="I23" i="27"/>
  <c r="H23" i="27"/>
  <c r="G23" i="27"/>
  <c r="F23" i="27"/>
  <c r="E23" i="27"/>
  <c r="D23" i="27"/>
  <c r="M22" i="27"/>
  <c r="L22" i="27"/>
  <c r="M21" i="27"/>
  <c r="L21" i="27"/>
  <c r="I16" i="27"/>
  <c r="H16" i="27"/>
  <c r="G16" i="27"/>
  <c r="F16" i="27"/>
  <c r="E16" i="27"/>
  <c r="D16" i="27"/>
  <c r="M15" i="27"/>
  <c r="L15" i="27"/>
  <c r="M14" i="27"/>
  <c r="L14" i="27"/>
  <c r="M13" i="27"/>
  <c r="L13" i="27"/>
  <c r="M12" i="27"/>
  <c r="L12" i="27"/>
  <c r="M11" i="27"/>
  <c r="L11" i="27"/>
  <c r="M10" i="27"/>
  <c r="L10" i="27"/>
  <c r="O8" i="27"/>
  <c r="B4" i="27"/>
  <c r="G22" i="5"/>
  <c r="G21" i="5"/>
  <c r="G40" i="5"/>
  <c r="G36" i="5"/>
  <c r="G30" i="5"/>
  <c r="G28" i="5"/>
  <c r="H27" i="5"/>
  <c r="G25" i="5"/>
  <c r="G24" i="5"/>
  <c r="G23" i="5"/>
  <c r="B5" i="26"/>
  <c r="B4" i="26"/>
  <c r="B3" i="26"/>
  <c r="I23" i="25"/>
  <c r="H23" i="25"/>
  <c r="G23" i="25"/>
  <c r="F23" i="25"/>
  <c r="E23" i="25"/>
  <c r="D23" i="25"/>
  <c r="M22" i="25"/>
  <c r="L22" i="25"/>
  <c r="M21" i="25"/>
  <c r="L21" i="25"/>
  <c r="I16" i="25"/>
  <c r="H16" i="25"/>
  <c r="G16" i="25"/>
  <c r="F16" i="25"/>
  <c r="E16" i="25"/>
  <c r="D16" i="25"/>
  <c r="M15" i="25"/>
  <c r="L15" i="25"/>
  <c r="M14" i="25"/>
  <c r="L14" i="25"/>
  <c r="M13" i="25"/>
  <c r="L13" i="25"/>
  <c r="M12" i="25"/>
  <c r="L12" i="25"/>
  <c r="M11" i="25"/>
  <c r="L11" i="25"/>
  <c r="M10" i="25"/>
  <c r="L10" i="25"/>
  <c r="O8" i="25"/>
  <c r="B4" i="25"/>
  <c r="O8" i="24"/>
  <c r="D16" i="24"/>
  <c r="E16" i="24"/>
  <c r="F16" i="24"/>
  <c r="G34" i="5"/>
  <c r="G33" i="5"/>
  <c r="G32" i="5"/>
  <c r="G31" i="5"/>
  <c r="G27" i="5"/>
  <c r="G26" i="5"/>
  <c r="I23" i="24"/>
  <c r="H23" i="24"/>
  <c r="G23" i="24"/>
  <c r="F23" i="24"/>
  <c r="E23" i="24"/>
  <c r="D23" i="24"/>
  <c r="M22" i="24"/>
  <c r="L22" i="24"/>
  <c r="M21" i="24"/>
  <c r="L21" i="24"/>
  <c r="I16" i="24"/>
  <c r="H16" i="24"/>
  <c r="G16" i="24"/>
  <c r="M15" i="24"/>
  <c r="L15" i="24"/>
  <c r="M14" i="24"/>
  <c r="L14" i="24"/>
  <c r="M13" i="24"/>
  <c r="L13" i="24"/>
  <c r="M12" i="24"/>
  <c r="L12" i="24"/>
  <c r="M11" i="24"/>
  <c r="L11" i="24"/>
  <c r="M10" i="24"/>
  <c r="L10" i="24"/>
  <c r="B4" i="24"/>
  <c r="B5" i="23"/>
  <c r="B4" i="23"/>
  <c r="B3" i="23"/>
  <c r="F40" i="5"/>
  <c r="B3" i="6"/>
  <c r="B4" i="6"/>
  <c r="B5" i="6"/>
  <c r="R12" i="25" l="1"/>
  <c r="R12" i="24"/>
  <c r="R12" i="27"/>
</calcChain>
</file>

<file path=xl/comments1.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2.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3.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4.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5.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6.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sharedStrings.xml><?xml version="1.0" encoding="utf-8"?>
<sst xmlns="http://schemas.openxmlformats.org/spreadsheetml/2006/main" count="1191" uniqueCount="456">
  <si>
    <t>Query</t>
  </si>
  <si>
    <t>Production Team</t>
  </si>
  <si>
    <t>Gareth Smith</t>
  </si>
  <si>
    <t>Proposed Milestone change</t>
  </si>
  <si>
    <t>Likely to be late</t>
  </si>
  <si>
    <t>Month 1</t>
  </si>
  <si>
    <t>GridPP Funded</t>
  </si>
  <si>
    <t>Unfunded</t>
  </si>
  <si>
    <t>Month 2</t>
  </si>
  <si>
    <t>Month 3</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</si>
  <si>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</si>
  <si>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</si>
  <si>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</si>
  <si>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</si>
  <si>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</si>
  <si>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</si>
  <si>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</si>
  <si>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</si>
  <si>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</si>
  <si>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</si>
  <si>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</si>
  <si>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</si>
  <si>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</si>
  <si>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</si>
  <si>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</si>
  <si>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</si>
  <si>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Owner</t>
  </si>
  <si>
    <t>Description</t>
  </si>
  <si>
    <t>Area</t>
  </si>
  <si>
    <t>Reported by</t>
  </si>
  <si>
    <t>Target</t>
  </si>
  <si>
    <t>OK</t>
  </si>
  <si>
    <t>Not OK</t>
  </si>
  <si>
    <t>Comment</t>
  </si>
  <si>
    <t>Suspended</t>
  </si>
  <si>
    <t>Milestone no.</t>
  </si>
  <si>
    <t>Due date</t>
  </si>
  <si>
    <t>Date complete</t>
  </si>
  <si>
    <t>Evidence</t>
  </si>
  <si>
    <t>Overdue</t>
  </si>
  <si>
    <t>Not yet due</t>
  </si>
  <si>
    <t>Work area</t>
  </si>
  <si>
    <t>Complete</t>
  </si>
  <si>
    <t>Insitute or area specific risks</t>
  </si>
  <si>
    <t>Not yet able to be measured</t>
  </si>
  <si>
    <t>Effort (FTE)</t>
  </si>
  <si>
    <t>Close to target</t>
  </si>
  <si>
    <t>Source</t>
  </si>
  <si>
    <t>CPU</t>
  </si>
  <si>
    <t>Network</t>
  </si>
  <si>
    <t>Management</t>
  </si>
  <si>
    <t>Tier-1</t>
  </si>
  <si>
    <t>Andrew Sansum</t>
  </si>
  <si>
    <t>Tim Folkes</t>
  </si>
  <si>
    <t>Catalin Condurache</t>
  </si>
  <si>
    <t>Based on Milestones 1.3d-2</t>
  </si>
  <si>
    <t>General</t>
  </si>
  <si>
    <t>CASTOR</t>
  </si>
  <si>
    <t>Disk</t>
  </si>
  <si>
    <t>Production</t>
  </si>
  <si>
    <t>Tier-1 no.</t>
  </si>
  <si>
    <t>GridPP no.</t>
  </si>
  <si>
    <t>Objectives and Deliverables needing Rescheduling</t>
  </si>
  <si>
    <t>Old Due Date</t>
  </si>
  <si>
    <t>New Due Date</t>
  </si>
  <si>
    <t>Reason</t>
  </si>
  <si>
    <t xml:space="preserve">New Objectives and Deliverables </t>
  </si>
  <si>
    <t>Summary of Comments</t>
  </si>
  <si>
    <t>Core Services</t>
  </si>
  <si>
    <t>GRIDPP Funded Name(s)</t>
  </si>
  <si>
    <t>Sansum</t>
  </si>
  <si>
    <t>Proposed to be Rescheduled</t>
  </si>
  <si>
    <t>Grid Deployment</t>
  </si>
  <si>
    <t>Fraction of WLCG MoU commitment for CPU 100 %</t>
  </si>
  <si>
    <t>Availability of CE service 99 %</t>
    <phoneticPr fontId="0" type="noConversion"/>
  </si>
  <si>
    <t>Number of Security Incidents 2 per year</t>
    <phoneticPr fontId="0" type="noConversion"/>
  </si>
  <si>
    <t xml:space="preserve"># level 3 incidents(newly entered or active) in disaster management system 0  </t>
    <phoneticPr fontId="0" type="noConversion"/>
  </si>
  <si>
    <t xml:space="preserve"># level 4 incidents (newly entered or active) in disaster management system 0  </t>
    <phoneticPr fontId="0" type="noConversion"/>
  </si>
  <si>
    <t>Percentage of GRIDPP4 Staff in Post 93 %</t>
  </si>
  <si>
    <t>Fraction of WLCG MoU commitment for Disk 100 %</t>
    <phoneticPr fontId="0" type="noConversion"/>
  </si>
  <si>
    <t xml:space="preserve"> Fraction of WLCG MoU commitment for Tape 100 %</t>
    <phoneticPr fontId="0" type="noConversion"/>
  </si>
  <si>
    <t># Storage node failures leading to filesystem loss or damage</t>
  </si>
  <si>
    <t>CASTOR SAM tests: ATLAS VO</t>
  </si>
  <si>
    <t>CASTOR SAM tests: ALICE VO</t>
  </si>
  <si>
    <t>CASTOR SAM tests: CMS VO</t>
  </si>
  <si>
    <t>CASTOR SAM tests: LHCb VO</t>
  </si>
  <si>
    <t xml:space="preserve"> Reliability of tape robot 99 %</t>
  </si>
  <si>
    <t>WLCG Service Availability Target (set lower by WLCG than MoU, taken from OPS availability) 97 %</t>
  </si>
  <si>
    <t>WLCG Service Availability for Alice 97 %</t>
  </si>
  <si>
    <t>WLCG Service Availability for ATLAS 97 %</t>
    <phoneticPr fontId="0" type="noConversion"/>
  </si>
  <si>
    <t>WLCG Service Availability for CMS 97 %</t>
    <phoneticPr fontId="0" type="noConversion"/>
  </si>
  <si>
    <t>WLCG Service Availability for LHCB 97 %</t>
    <phoneticPr fontId="0" type="noConversion"/>
  </si>
  <si>
    <t xml:space="preserve">Respond to pager within 2 hours  95 %  </t>
  </si>
  <si>
    <t xml:space="preserve">Number of GGUS Tickets not responded to within two hours .  </t>
    <phoneticPr fontId="0" type="noConversion"/>
  </si>
  <si>
    <t>Job Efficiency (CPU/Wall) 70 %</t>
  </si>
  <si>
    <t>Farm Occupancy 70 %</t>
  </si>
  <si>
    <t>Produce the purchasing plan</t>
  </si>
  <si>
    <t>% met of GRIDPP T1RB Allocation for Tape   100 %</t>
  </si>
  <si>
    <t>% met of GRIDPP T1-RB allocation for CPU 100 %</t>
  </si>
  <si>
    <t>% met of GRIDPP T1RB Allocation for Disk  100 %</t>
  </si>
  <si>
    <t xml:space="preserve">Damaged tapes/month, leading to data loss </t>
  </si>
  <si>
    <t>3 per month</t>
  </si>
  <si>
    <t>Percentage of available T1 Disk 1 used in quarter 20 %</t>
  </si>
  <si>
    <t>Used tape capacity (TB)</t>
  </si>
  <si>
    <t>Fabric</t>
  </si>
  <si>
    <t>Grid</t>
  </si>
  <si>
    <t>Database</t>
  </si>
  <si>
    <t>Machine Room Operations</t>
  </si>
  <si>
    <t>Database team</t>
  </si>
  <si>
    <t>Smith, Idiculla, Kelly</t>
  </si>
  <si>
    <t>Metric calculation changed in 12Q1 Now harder</t>
  </si>
  <si>
    <t>Notes</t>
  </si>
  <si>
    <t>EVAL Notes</t>
  </si>
  <si>
    <t>Publications</t>
  </si>
  <si>
    <t xml:space="preserve"> Date</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</si>
  <si>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</si>
  <si>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</si>
  <si>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</si>
  <si>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</si>
  <si>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</si>
  <si>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</si>
  <si>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</si>
  <si>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</si>
  <si>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Tier-1 WLCG MoU commitments met</t>
  </si>
  <si>
    <t>Condurache, Adams, Collier, Ryall, Dibbo, Williams</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</si>
  <si>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</si>
  <si>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</si>
  <si>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 xml:space="preserve">Staffing recruitment and retention remains problematic. </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</si>
  <si>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</si>
  <si>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</si>
  <si>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 xml:space="preserve">
</t>
  </si>
  <si>
    <r>
      <rPr>
        <b/>
        <sz val="10"/>
        <rFont val="Arial"/>
        <family val="2"/>
      </rPr>
      <t>2017</t>
    </r>
    <r>
      <rPr>
        <sz val="10"/>
        <rFont val="Arial"/>
        <family val="2"/>
      </rPr>
      <t xml:space="preserve"> Capacity produrement may be impacted by delays introduced by SBS procurement process.</t>
    </r>
  </si>
  <si>
    <t>Jun '16</t>
  </si>
  <si>
    <t>Andrew Lahiff</t>
  </si>
  <si>
    <t>Rob Appleyard</t>
  </si>
  <si>
    <t>Kashif Hafeez</t>
  </si>
  <si>
    <t>Canning ,  Folkes, Prosser, Appleyard, Johnson,Vasilakakos ,Patargias , Packer</t>
  </si>
  <si>
    <t>Site networking is not funded by either SCD or GridPP in GridPP5</t>
  </si>
  <si>
    <t>Machine room operations are now fully funded by SCD in GridPP5</t>
  </si>
  <si>
    <t>The Tier1 manager role continues to be covered by 20% of Andrew.</t>
  </si>
  <si>
    <t>Continue work on the CEPH disk storage project (ECHO)</t>
  </si>
  <si>
    <t>3.4.1</t>
  </si>
  <si>
    <t>UK CPU and storage delivered to EGI</t>
    <phoneticPr fontId="6" type="noConversion"/>
  </si>
  <si>
    <t>Monthly timesheets complete by 10th of each month</t>
    <phoneticPr fontId="6" type="noConversion"/>
  </si>
  <si>
    <t>GridPP staff PM delivered as required</t>
  </si>
  <si>
    <t>GOCDB Availability</t>
  </si>
  <si>
    <t>APEL Availability</t>
  </si>
  <si>
    <t>3.4.2</t>
  </si>
  <si>
    <t>3.4.3</t>
  </si>
  <si>
    <t>3.4.4</t>
  </si>
  <si>
    <t>3.4.5</t>
  </si>
  <si>
    <t>Ian Collier</t>
  </si>
  <si>
    <t>&gt;99%</t>
  </si>
  <si>
    <t>1.1.1</t>
  </si>
  <si>
    <t>1.1.2</t>
  </si>
  <si>
    <t>1.1.3</t>
  </si>
  <si>
    <t>1.1.4</t>
  </si>
  <si>
    <t>1.1.5</t>
  </si>
  <si>
    <t>1.1.6</t>
  </si>
  <si>
    <t>1.1.7</t>
  </si>
  <si>
    <t>FY16 Capacity order placed</t>
  </si>
  <si>
    <t>FY16 Purchase in production</t>
  </si>
  <si>
    <t>FY17 Capacity order placed</t>
  </si>
  <si>
    <t>FY17 Purchase in production</t>
  </si>
  <si>
    <t>FY18 Capacity order placed</t>
  </si>
  <si>
    <t>FY18 Purchase in production</t>
  </si>
  <si>
    <t>FY19 Capacity order placed</t>
  </si>
  <si>
    <t>FY19 Purchase in production</t>
  </si>
  <si>
    <t>1.4.1</t>
  </si>
  <si>
    <t>1.4.2</t>
  </si>
  <si>
    <t>1.4.3</t>
  </si>
  <si>
    <t>1.4.4</t>
  </si>
  <si>
    <t>1.4.5</t>
  </si>
  <si>
    <t>1.4.6</t>
  </si>
  <si>
    <t>1.4.7</t>
  </si>
  <si>
    <t>1.4.8</t>
  </si>
  <si>
    <t>1.4.9</t>
  </si>
  <si>
    <t>1.4.10</t>
  </si>
  <si>
    <t>1.4.11</t>
  </si>
  <si>
    <t>1.4.12</t>
  </si>
  <si>
    <t>1.4.13</t>
  </si>
  <si>
    <t>1.4.14</t>
  </si>
  <si>
    <t>1.4.15</t>
  </si>
  <si>
    <t>1.4.16</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</si>
  <si>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</si>
  <si>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</si>
  <si>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</si>
  <si>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</si>
  <si>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</si>
  <si>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</si>
  <si>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</si>
  <si>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</si>
  <si>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</si>
  <si>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</si>
  <si>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</si>
  <si>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</si>
  <si>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</si>
  <si>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</si>
  <si>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</si>
  <si>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</si>
  <si>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</si>
  <si>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</si>
  <si>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</si>
  <si>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</si>
  <si>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</si>
  <si>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</si>
  <si>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1.3.11</t>
  </si>
  <si>
    <t>NGI</t>
  </si>
  <si>
    <t>APEL</t>
  </si>
  <si>
    <t>GOCDB</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</si>
  <si>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</si>
  <si>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</si>
  <si>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A purchasing plan swas produced but changes in the amount of money available require the plan to be re-visited.</t>
  </si>
  <si>
    <t>Taking this as the purchasing plan for spendind within the 2016/17 FY. A plan was produced but has had to be changed as some spend originally earmarked for Tier2s is being moved to the Tier1.</t>
  </si>
  <si>
    <t>Nov '16</t>
  </si>
  <si>
    <t>Changes to purchasing plan may add delays and lead to purchasing items earlier at less favourable prices/performance.</t>
  </si>
  <si>
    <t>Purchasing against the revised plan will be prioritsied to expedite the processing and examined thoroughly.</t>
  </si>
  <si>
    <t>Propose Oct/Nov '16</t>
  </si>
  <si>
    <t>1.4.1 Produce the purchasing plan</t>
  </si>
  <si>
    <t>1.4.2 FY16 Capacity order placed</t>
  </si>
  <si>
    <t>Bly, Hafeez, Harper, Walia, Chambers, Masaitis, Gale</t>
  </si>
  <si>
    <t>Order for CPU &amp; disk storage received by vendor mid-Feb.</t>
  </si>
  <si>
    <t>CASTOR/Tape/CEPH</t>
  </si>
  <si>
    <t>Ryall, Meredith</t>
  </si>
  <si>
    <t>Coveney, Corbett</t>
  </si>
  <si>
    <t>Q117</t>
  </si>
  <si>
    <t>Comment Q117</t>
  </si>
  <si>
    <t>1.6.3</t>
  </si>
  <si>
    <t>1.6.1</t>
  </si>
  <si>
    <t>1.6.2</t>
  </si>
  <si>
    <t>7.3.1</t>
  </si>
  <si>
    <t>5.1.1</t>
  </si>
  <si>
    <t>5.1.2</t>
  </si>
  <si>
    <t>5.1.3</t>
  </si>
  <si>
    <t>5.1.4</t>
  </si>
  <si>
    <t>7.3.4</t>
  </si>
  <si>
    <t>1.2.13</t>
  </si>
  <si>
    <t>1.2.14</t>
  </si>
  <si>
    <t>1.2.4 &amp; 1.2.5</t>
  </si>
  <si>
    <t>4.1.2</t>
  </si>
  <si>
    <t>1.6.4</t>
  </si>
  <si>
    <t>1.6.5</t>
  </si>
  <si>
    <t>1.6.6</t>
  </si>
  <si>
    <t>7.3.5</t>
  </si>
  <si>
    <t>7.1.3</t>
  </si>
  <si>
    <t>7.1.4</t>
  </si>
  <si>
    <t>ECHO</t>
  </si>
  <si>
    <t>Castor was updated to version 2.1.15 during January/February.
At the end of the quarter a start was made on upgrading the SRMs to version 2.1.16 (and to run on SL6) although performance problems were subsequently encountered.</t>
  </si>
  <si>
    <t>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</si>
  <si>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 xml:space="preserve">Two of the chillers were replaced. One of those replaced had partly failed. </t>
  </si>
  <si>
    <t>There were two problems when a hypervisor in the Hyper-V virtual infrastructure crashing. The VMs were recovered but there was an effect on services while this happened.</t>
  </si>
  <si>
    <t>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</si>
  <si>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At the start of the year firmware updates were made to RAID cards in the Viglen '13 batch of disk servers.
Some of the 100TB  ’14 generation disk servershave been delpoyed in Castor. (These servers were originally used to test CEPH).</t>
  </si>
  <si>
    <t>Production team running well below staff complement. The plavcement of an apprentice in the team for siix months (Oct '16 - Mar '17) is helping.</t>
  </si>
  <si>
    <t>The Tier1 manager role continues to be covered by 20% of Andrew.
Database team now up to strength with two members of staff.</t>
  </si>
  <si>
    <t xml:space="preserve">The site and Top BDIIs were put behind load balancers.
A review of WMS usage shows ongoing interest in this service. </t>
  </si>
  <si>
    <t>Migration of LHCb data from 'C' to 'D' tapes has been completed. All Tier1 data is now on T10KD tapes.
Migration of services off SL5 as it has reached end of life.</t>
  </si>
  <si>
    <t>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</si>
  <si>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</si>
  <si>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The orders were placed and equipment received by the end of the FY.</t>
  </si>
  <si>
    <t>1.4.3.  FY16 Purchase in production</t>
  </si>
  <si>
    <t>1.4.4.  Tier-1 WLCG MoU commitments met</t>
  </si>
  <si>
    <t>1.4.5. Produce the purchasing plan</t>
  </si>
  <si>
    <t>April '17</t>
  </si>
  <si>
    <t>May '17</t>
  </si>
  <si>
    <t>June '17</t>
  </si>
  <si>
    <t>Equipment delivered but time needed for cabling and testing. Will be late.</t>
  </si>
  <si>
    <t>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</si>
  <si>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CERN will stop support for Castor.</t>
  </si>
  <si>
    <t>CERN have announces a replacement for Castor (for tape). An evaluation of the best way forward for future tape storage is being made.</t>
  </si>
  <si>
    <t>Oracle withdraw support for existing Tape infrastucture.</t>
  </si>
  <si>
    <t>Oracle have indicated that the next generation of tape drives/mdeia will not be produced. Track Oracle timeline for tape/media/librray support and be aware of the directions being taken by other sites.</t>
  </si>
  <si>
    <t>CEPH ECHO will not deliver storage reliably or be able to deliver the necessary access bandwidth.</t>
  </si>
  <si>
    <t>Tight management of the ECHO project is carefuly monitoring progress. A detailed risk register for ECHO has been produced.</t>
  </si>
  <si>
    <t>Escalated problem LHCb had with Castor while running stipping/merging campain. Led to reverting LHCb Castor SRM upgrade.</t>
  </si>
  <si>
    <t>Missing ALICE-specific xroot component after Castor 2.1.15 upgrade led to several days of test failure (inlcuing a weekend).</t>
  </si>
  <si>
    <t>See comment for metric 1.2.9.</t>
  </si>
  <si>
    <t>See comment for metric 1.2.8.</t>
  </si>
  <si>
    <t>There have been sporadic failures of the CMS SAM tests against the SRMs (timeouts) throught this period. Effort was directed at Castor upgrades (SRM and then Castor itself to improve this).</t>
  </si>
  <si>
    <t>See comment for metric 1.2.10 above. Plus in March CMS CE tests suffered from aa problem with argus plus another when a Hyperviosor failed affecting a number of virtual machines. This in turn affected CMS CE tests.</t>
  </si>
  <si>
    <t>Sporadic SRM test failures through the quarter. Some specific problems with the SRM led to more test failures on one or two days.</t>
  </si>
  <si>
    <t>See comment for metric 1.2.11.</t>
  </si>
  <si>
    <t>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</si>
  <si>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Smirnov, Packer, </t>
  </si>
  <si>
    <t>Reduced developer effort during Q117 (GR ~1mth leave, DM reduced effort). 
No major issues.</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</si>
  <si>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</si>
  <si>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 xml:space="preserve">Waiting on EGI to publish their stats. A quick look at Nagios over the quarter shows no availability issues. </t>
  </si>
  <si>
    <t>No major problems encountered. Service ran smoothly during this period. Response time for GGUS tickets well within OLA. Most machines migrated off SL5.</t>
  </si>
  <si>
    <t>Delayed hardware has meant that one machine is yet to be migrated off SL5. John Gordon retired in this period, but still in touch and helping occasionally.</t>
  </si>
  <si>
    <t>Q217</t>
  </si>
  <si>
    <t>Comment Q217</t>
  </si>
  <si>
    <t>Handover from DM to GR completed. 
Work on extending write API continuing</t>
  </si>
  <si>
    <t xml:space="preserve">No Major Issues. DM to move to other projects. </t>
  </si>
  <si>
    <t>No major problems encountered. Service ran smoothly during this period. Response time for GGUS tickets well within OLA.</t>
  </si>
  <si>
    <t>New hardware did arrive at last, but due to problems with sys admin availability, only now starting to work up a detailed schedule and plan for migration.</t>
  </si>
  <si>
    <t>There was a problem around to 30th April/1st May when one of the Atlas disks filled up and we failed tests consistently. There were also intermittent test failures before the Castor Atlas 2.1.16 upgrade which was done on the 25th May.</t>
  </si>
  <si>
    <t xml:space="preserve">Production team running well below staff complement. </t>
  </si>
  <si>
    <t>Castor and the SRMs were upgraded to version 2.1.16-13. This put us on a version similar to that running at CERN.
The upgrade of the SRMs (both a Castor update and OS update to SL6) meant we no longer had and external facining systems running SL5.</t>
  </si>
  <si>
    <t>There were significant problems with Castor for LHCb that led to the previous SRM update (on 23rd March) being reverted. This gave significant improvement.
There were some Castor problems following the upgrade to version 2.1.16-13 in May. Notably a problem for LHCB when a TURL returned by the SRM did not always work when used for xroot access. Also, Atlas encountered a problem where double-slashes ("//") in the incoming request filenames caused problems. These issues were resolved and led to more stable Castor operations.
There was a steady rate of CMS SAM test failures affecting availabilities.</t>
  </si>
  <si>
    <t>The two chillers replaced in the last quarter are working OK. They look like they will give will give a return on investment (in electricity costs) in around 5 years.</t>
  </si>
  <si>
    <t>At the end of April there was a failure of the UPS in building R89 when internal capacitors overheated. Following this there was no UPS (or diesel) backup to the machine room in R89. A replacement UPS was installed and commissioned during May.</t>
  </si>
  <si>
    <t>In May a problem with the site firewall was revealed. Initially being looked at owing to videoconferencing problems it became clear this has a significant effect on some of our data flows. Although much of our data flow bypasses the firewall this is a significant problem (e.g. for data flows to/from worker nodes) and is caused by a weakness in the current firewall. (The problem has not been resolved).</t>
  </si>
  <si>
    <t xml:space="preserve">In April The IPv6 addressing scheme was agreed and put in place. This was an enabler for IPv6 services. Also during Aril the Perfsonar nodes were set-up to work over IPv6 on the production Tier1 network.
Towards the end of June:
- The paired network link between R89 and R26 was switched from 2*10Gb/s to 2*40Gb/s.
- The OPN link to CERN was increased from 2*10Gb/s to 3*10Gb/s.
</t>
  </si>
  <si>
    <t>Echo has seen a number of issues arise as usage ramped up - and these have been successfully tackled:
During May problems were seen on the Echo xroot gateways. A xrootd proxy cache was then installed on these gateways and this resolved the issue. 
In June Echo saw an internal problem where the "Level DB"s on some OSDs (disk managers) had grown very large causing latency problems. The cause was understood and worked around by the introduction of the XRoot proxies. It was then possible to reduce the sizes of these databases. 
Also during June there were problems with the Echo gateways that coincided with a large increase in requests. In response the xrootd gateway was stopped for a few days and a concurrent connection limit applied to the GridFTP gateways. High memory usage was also observed and steps taken to reduce that.</t>
  </si>
  <si>
    <t xml:space="preserve">During May batch access was enabled for LIGO and the MICE pilot role.
Also during May the Edinburgh Dirac site started transferring data in production - initiall around 2 to 4TB per day. Then during June data startedshipping from the Leicester Dirac site. </t>
  </si>
  <si>
    <t>During May load balancers were set-up in front of the Argus service and the CEs configured to use these. This eliminated a  single-point of a failure for the batch system.</t>
  </si>
  <si>
    <t>We started seeing a high rate of cases where the RAID cards in one batch of disk servers (OCF '14) were flagging problems in disk drives but the vendor was finding no fault with the returned drives. In response during June a the firmware in all the RAID cards in this batch were updated to the latest version.</t>
  </si>
  <si>
    <t>During the quarter a start was made on installing xrootd gateways on worker nodes.</t>
  </si>
  <si>
    <t>Equipment delivered but further time needed for testing before going into production.</t>
  </si>
  <si>
    <t>During April Out of Hours cover for the Echo service started to be piloted. 
During May the GridFTP / XRootD plugins on the Echo gateways were successfully updated - changing the way checksums are stored. 
During May CMS successfully tested AAA access to ECHO over xrootd.
By the end of May atlas were storing 2Petabytes of data in Echo. Following this Atlas carried out a successful deletion test - as regular deletions (as well as creations) are needed for normal operations. 
During June an internal (transparent) change was successfully made to the Echo CMS pool to increase the number of placement groups. This improves the distribution of data and was being done ahead of adding more hardware capacity.</t>
  </si>
  <si>
    <t>Test failures dominated by problems in first part of quarter The causes are as detailed in the narrative section. (These led to the reversion of a previous SRM update and a problem with TURLs returned after the Castor upgrade.)</t>
  </si>
  <si>
    <t>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</si>
  <si>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See comment for metric 1.2.10</t>
  </si>
  <si>
    <t>See comment for metric 1.2.11</t>
  </si>
  <si>
    <t>1.4.3 FY16 Purchase in production</t>
  </si>
  <si>
    <t>Apr '17</t>
  </si>
  <si>
    <t>1.4.4 Tier-1 WLCG MoU commitments met</t>
  </si>
  <si>
    <t>No milestones in next quarter.</t>
  </si>
  <si>
    <t>Planning underway. However, plean will not be finalised until much later than this.</t>
  </si>
  <si>
    <t>New equipment not in use. However, CPU commitment met and Echo storage coming onstream. Note that this report missing key metrics here.</t>
  </si>
  <si>
    <t>Oct '17</t>
  </si>
  <si>
    <t>Finalising the purchasing requires many discussions and usually cannot (or does not) start earlier.</t>
  </si>
  <si>
    <t>Tight management of the ECHO project is carefuly monitoring progress. A detailed risk register for ECHO has been produced. Staff are gaining operational experience with Echo now storing Atlas data.</t>
  </si>
  <si>
    <t>Q317</t>
  </si>
  <si>
    <t>Comment Q317</t>
  </si>
  <si>
    <t>Ryall</t>
  </si>
  <si>
    <t>New hardware finally up and running. Summary processing rate much increased by this change. No major problems encountered. Service ran smoothly during this period. Response time for GGUS tickets well within OLA.</t>
  </si>
  <si>
    <t>A couple of days had no cover by core APEL staff due to coincident leave.</t>
  </si>
  <si>
    <t>In July and August there were some problems with Atlas Castor. One was specifically accessing the Atlas Scratch Disk, another affected the SRMs. During August  small AtlasScratchDisk was merged into the larger AtlasDataDisk pool in Castor. This had the effect of removing the bottleneck caused by the small AtlasScratchDisk pool which affected the rate at which files could be transferred in/out.
Enabled access to Castor for the SOLID experiment.</t>
  </si>
  <si>
    <t xml:space="preserve">During August one of the three links that make up the OPN connection was moved to a new circuit that uses a different route - improving resilience of the overall OPN link.
</t>
  </si>
  <si>
    <t>There is an ongoing problem on the site firewall which is causing problems for some specific data flows that pass through the firewall.
There was a site networking problem overnight at the end of July. One of the RAL core network stacks stopped working correctly in the early hours one morning. The Tier1 router pair flipped between the connections to the core networkj stacks several times. However, the one failing stack was in a bad shape and even when nominally up was not working correctly leading to the flipping. The faulty stack was stopped in the morning restoring network connectivity.
Following the above there was a further problem on the 2nd August. After the previous problem we had set our router pair (the Extreme X670s) to not flip back to use the link to the (then) failing stack. However, during work to resolve the problem on the failed core stack our second link to another core stack went down - it appears our routers thought there was a network loop. This caused the Extreme x670 router pair to try  switching back to the other connection. The upshot was a complete break in Tier1 connectivity to the core for around an hour. There was some delay in re-establishing IPv6 connectivity after this event.</t>
  </si>
  <si>
    <t>There was a problem with the test FTS3 service (used by Atlas) at the end of July. The system hit a limit of having done 2 billion file transfers. An emergency update was applied.</t>
  </si>
  <si>
    <t>The RAID card firmware was updated on one batch of disk servers (OCF '14) in July. Also during July the wide area network tuning parameters were updated on Castor disk servers. (This had previously been applied to some of the servers - this completed the roll-out.)
During this quarter 6 additional disk servers have been deployed into each of AtlasTape, CMSTape and lhcbRawRdst (All D0T1 areas) in Castor.</t>
  </si>
  <si>
    <t>In mid-July data started to be received from the Dirac Leicester site. By the end of this quarter we had a total of about 2PBytes of data from a total of 4 of the Dirac sites.</t>
  </si>
  <si>
    <t xml:space="preserve">Power work was carried out in building R26 (the Atlas building) over the weekend of 29/30 July. This had no impact on our operational services.
There was a successful UPS/Generator load test on 9th August. These are done quarterly and this was the first regular test since the building UPS was replaced. (It had been tested shortly after installation). </t>
  </si>
  <si>
    <t xml:space="preserve">In July access to FTS via the SOAP interface was stopped. This enabled the FTS service to be subsequently upgraded to a newer version.
By early August all squid nodes have been enabled with IPv4/IPv6 dual stack and in mid-August the CVMFS Stratum-1 service also had IPv4/6 dual stack enabled.
The moving of VMs off our old Windows HyperV2008 infrastructure to hypervisors running HyperV2012 was largely complete at the end of the quarter. </t>
  </si>
  <si>
    <t>Others starting to gain knowledge to gain resiliency of service.</t>
  </si>
  <si>
    <t>Availability of effort.</t>
  </si>
  <si>
    <t>A couple of instances during the quarter where CMSDisk became full. This affected the SAM SRM tests and hence CMS availability. 
At the start of the quarter we were still seeing a high rate of failures of the CMS SAM tests against the SRM which affected the (CMS) availabilities. However, around the middle of the quarter the test success rate improved markedly although we do not understand why.
In August four files were reported lost to CMS from a tape. During a CMS mass recall the monitoring noted that one tape was generating errors and causing tape drives to go down. The tape was put into repack. After various attempts at repacking and reading files direct from tape, four files were left unreadable.
In September six disk servers from 2012 batches were deployed into the LHCb tape buffer. Some problems were encountered with SAM tests failing - ultimately traced to configuration problems on a couple of these additional disk servers. LHCb did not report operational problems resulting from this.</t>
  </si>
  <si>
    <t>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</si>
  <si>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In first part of quarter there were problems that appeared in the SRMs that were thought to be due to Castor performance issues. The merging of the small AtlasScratchDisk pool into a larger disk pool alleviated these. (See Narrative).</t>
  </si>
  <si>
    <t xml:space="preserve">Planning completed so that tenders could be issued. </t>
  </si>
  <si>
    <t>It may take a while to get the disk servers into Echo.</t>
  </si>
  <si>
    <t>As shown in metrics.</t>
  </si>
  <si>
    <t>CPU in use. Storage awaiting further work in Echo.</t>
  </si>
  <si>
    <t>Tight management of the ECHO project is carefuly monitoring progress. There has been one notable data loss incident. However, experience so far corroborates that expected from the risk register. As experience is being gained this risk is diminishing.</t>
  </si>
  <si>
    <t>Tenders issued at end of November.</t>
  </si>
  <si>
    <t>1.4.6 FY17 Capacity order placed</t>
  </si>
  <si>
    <t>Nov '17</t>
  </si>
  <si>
    <t>Media errors that were flushed out as Atlas data was moved (rebalanced) onto the newly-added hardware (the rest of the 2015 batch) led to problems within CEPH. At the end of August there was a loss of around 22,000 Atlas files (of which 3285 files were unique). One CEPH "placement group" was lost. This problem was understood - and a bug in CEPH identified.  Media errors in the  hardware that has been added into Echo exposed a bug in the CEPH Erasure Coding when back-filling. Careful management of disk errors as the data was moved onto new servers was necessary. The rebalancing proceeded much more slowly than anticipated and was still ongoing at the end of the quarter.
The above problem aslo uncovered a separate problem (subsequently solved) with the Echo gateways (including those on the worker nodes) which created many threads - blocking activity.
Post mortem for data loss at: https://www.gridpp.ac.uk/wiki/RAL_Tier1_Incident_20170818_first_Echo_data_loss</t>
  </si>
  <si>
    <t>Figure dominated by September availability at 88%. Problem with two disk servers added into Castor gave problems for SAM tests although LHCb did did not report problems. Also noted in Narrative section.</t>
  </si>
  <si>
    <t>The (2015) disk servers added into Echo gave problems owing to a higher-than-expected rate of disk errors. The servers had been put into a Ceph test area and exercised. However, this was clearly insufficient to shake out enough of the disk problems and the process will be re-visited. The error rates seen on the disks drives used in Echo are requiring careful management which is taking more effort than anticipated.</t>
  </si>
  <si>
    <t xml:space="preserve">In July a test gateway to Echo was made dual stack and test transfers have been shown to work over IPv6 to/from CERN. 
At the start of the quarter the number of placement groups in the Echo CEPH Atlas pool was steadily increased in preparation for the increase in storage capacity when new hardware was added.  This was completed early August, and then by mid-August all the 2015 capacity storage had been put into Echo giving around 13.4Petabytes of space raw or approximately 10PBytes of usable space. Work then started to re-balance the existing data across all the storage.
In early September there was a successful test transfer of CMS data into Echo using PhEDEx. </t>
  </si>
  <si>
    <t>Q417</t>
  </si>
  <si>
    <t>Comment Q417</t>
  </si>
  <si>
    <t>Availability brought down by CMSDisk in Castor becoming full over the 5/6 October.</t>
  </si>
  <si>
    <t>No major problems encountered. Service ran smoothly during this period. Response time for GGUS tickets well within OLA. Monitoring of logs implemented that has simplified some of our support tasks.</t>
  </si>
  <si>
    <t>No proper staff cover over Christmas. Concern about generator failing to start during power cut in November.</t>
  </si>
  <si>
    <t>Work has progressed towards CMS making use of Echo. Their PhEDEx configuration was modified to use Echo. At the end of October CMS was switched over so that local CMS batch jobs now use Echo as the primary means of accessing local data via xrootd. If data not found there it will fail over to Castor.
The allocation in Echo for ATLAS was increased over the quarter. By the end of this time it stood at 4.1PB. (4PB in datadisk and 100TB in scratchdisk.)
In October modified code that uses less memory in the Echo gateways was rolled out and a parameter change made to improve the GidFTP gateway. Following this the maximum number of gridftp connections to each Echo gateways has was increased from 100 to 200.</t>
  </si>
  <si>
    <t>The Castor tape servers have been upgraded to SL7.
The Castor SRMs were upgraded to the latest version (2.1.16-18). The first was for LHCb in November. LHCb needed a bugfix available in this version. All the remaining SRMs were upgraded early December.
In December three disk servers were added to LHCb disk-only storage to alleviate space problems.</t>
  </si>
  <si>
    <t>There were problems with CMS disk-only becoming full in October. The draining of older disk servers (2012 generation) - partly in anticipation of CMS moving to Echo had been taking place and this had taken CMS to below pledge. This was causing significant problems for CMS. The solution was to add some (five) disk servers back into CMSDisk.
During November one of the Castor CMS headnodes failed. It was replaced with a spare. The failure occurred early morning - and the service was resumed during the afternoon.</t>
  </si>
  <si>
    <t>In October one of the three links that makes up the OPN connection was re-routed. (Circuit LHC-1). A cabling change was made by Janet staff at Harbour Exchange at the same time as one made at RAL.</t>
  </si>
  <si>
    <t>There has been an ongoing problem with the site firewall which is causing problems for many data flows. This is having an effect on our data that passes through the firewall (such as to/from worker nodes).
There were some problems with IPv6 connectivity at the end of November. Our second Extreme x670 router did not have a physical connection for IPv6 to the RAL core - and a fail-over to this router had broken the IPv6 connectivity.
There was a problem of high packet loss for traffic to/from the Tier that passed through the RAL core network (and firewall) on 4th December. The problem started at midnight and was fixed around 15:30.
A faulty transceiver caused problems for some internal Tier1 network connections - particularly to monitoring systems in the UPS room overnight 21/22 December. A member of staff attended overnight - when the problem was identified and fixed. External services were largely unaffected.</t>
  </si>
  <si>
    <t>At the end of October both  'test' and production FTS services were updated to the same version, paving the way for future consolidation of the services. In November both these services were enabled for IPv6 (i.e. dual stack enabled). Then at the end of November the production FTS service was migrated to use a distributed back-end database (MariasDB Galera cluster).
We learnt that EGI will withdraw support for the WMS from the start of 2018. Our WMS service will be stopped on this timescale.</t>
  </si>
  <si>
    <t>There was a problem with Atlas file transfers to Echo mid-October. An  update to the "test" FTS3 service (used by Atlas) led to a loss of some settings in the FTS service. Notably the number of concurrent streams for a transfer to Echo was increased. Fixed by re-applying the settings.</t>
  </si>
  <si>
    <t>Services still using the older Quattor/SCDB system for configuration/deployment were migrated to use Quattor/Aquilon. (Apart from some systems with a short expected lifetime).</t>
  </si>
  <si>
    <t>Along with other sites we had problems with the updated UK CA certificate in the IGTF 1.88 rollout at the start of December. We rolled back our initial deployment then, following an agreed plan, rolled forward again one week later.</t>
  </si>
  <si>
    <t>The size of the team (down to one person) was a cause for concern.</t>
  </si>
  <si>
    <t>Nothing significant to report.</t>
  </si>
  <si>
    <t>The re-distribution of data onto the 2015 capacity hardware, which had previously been added in, was problematic and took a long time - being completed mid-way through November. This was done cautiously owing to disk errors in the newly added systems triggering a bug in CEPH (the 'backfill' bug) that required some manual intervention to work round. The rate of errors seen in the newly added disks was a concern and the Echo/Fabric teams investigated. (See note in "Disk" section above.)</t>
  </si>
  <si>
    <t>The investigation of the errors in the drives added to Echo revealed that higher than expected failure rates were correlated with higher temperatures and it was found that the air flow through some of these racks was not correct (fan not turned on, air vents at the bottom of racks closed).</t>
  </si>
  <si>
    <t xml:space="preserve">The arrival of a new member of staff has brought the headcount back up nearer complement.
Operations over the Christmas and New Year holiday were generally stable although not completely quiet for the oncall team. There were some Castor disk server failures and staff did attend site over the holiday to replace failed disk drives. </t>
  </si>
  <si>
    <t>Darren Moore started in Production Team at the end of October. He will take over the role of Production Manager.
The Tier1 manager role continues to be covered by 20% of Andrew.</t>
  </si>
  <si>
    <t>Availability of effort remained an issue this quarter, but increasing efforts have successfully been made to work more closely with the Apel team.</t>
  </si>
  <si>
    <t>Tenders issued at end of November. Orders placed January 2018. - technically outside this quarter - but it is now done.</t>
  </si>
  <si>
    <t>None</t>
  </si>
  <si>
    <t>Spring '18</t>
  </si>
  <si>
    <t>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</si>
  <si>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 xml:space="preserve">Staffing recruitment and retention remains very problematic. </t>
  </si>
  <si>
    <t>Tight management of the ECHO project is carefuly monitoring progress. There has been one notable data loss incident. However, experience so far corroborates that expected from the risk register. As experience is being gained, including demonstrating that Echo can deliver data at significant rates, this risk is diminishing.</t>
  </si>
  <si>
    <t>Andrey Smirnov, Senior Database Administrator, left in October.
Andrew Lahiff left in December.</t>
  </si>
  <si>
    <t xml:space="preserve"> CASTOR is looking increasingly limited by transaction rate - particularly during hardware draining and meta-data operations such as ATLAS renaming.  </t>
  </si>
  <si>
    <t>No indication from Oracle that existing tape infrastructure will end of life. Maintain close links with Oracle in order to identify any future issues.</t>
  </si>
  <si>
    <t>Echo service will replace CASTOR for disk and mitigate this issue within 6 months.</t>
  </si>
  <si>
    <t>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</si>
  <si>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</si>
  <si>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The GridPP5 proposal requires the Tier1 to transition to supplying a more diverse community and that economies (in this context as seen by GridPP) can be found by providing a shared resource.This may prove to be impossible or require more effort than available.</t>
  </si>
  <si>
    <t>Close engagement with UKT0 project.</t>
  </si>
  <si>
    <t>There was a power outage affecting the RAL site (and wider area), on the 20th November at around 12:05. This lasted around 10 minutes. There are two power feeds into site. One had failed earlier that morning. The power outage was when the second feed also failed. Systems on UPS power stayed up. However, the diesel generator failed to start. In this instance this was not critical – the power returned well within the time limit the UPS batteries can supply. All Tier1 systems were restored early evening the same day.
As a preventative measure the diesel generator was run through the following night. A faulty emergency power-off switch was identified and this is believed to be the cause of the diesel generator not starting. This was replaced and a generator/UPS load test successfully carried out on the 13th December.</t>
  </si>
  <si>
    <t>Q118</t>
  </si>
  <si>
    <t>Comment Q118</t>
  </si>
  <si>
    <t>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</si>
  <si>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Darren Moore</t>
  </si>
  <si>
    <t>Adrian Coveney</t>
  </si>
  <si>
    <t>Service ran smoothly.
Response time for GGUS tickets well within OLA.</t>
  </si>
  <si>
    <t>Some of the published Availability/Reliability figures were incorrect owing to an Argo certificate update. Awaiting recaculation of these. (Figure given in the metrics tab of this report is corrected).</t>
  </si>
  <si>
    <t xml:space="preserve">The termination of the WMS service took place. Originally announced for the start of February it was brought forward a few weks to avoid patching the WMS systems for Spectre/Meltdown as no-one was actually using the service.
At our request Atlas moved from using our "test" FTS service to the production one at the end of January. This enabled a consolidation of our FTS infrastructure on one service.
Alice, CMS and LHCb VOBOXes were made dual stack IPv4/6. </t>
  </si>
  <si>
    <t>At the end of January there was an overnight problem with the system that runs the tape library control software. The control system could not be booted. This was fixed the following morning. Overnight we were unable to mount tapes - effectively blocking tape access (although writes to the disk buffers in front of tape, plus reads of any data in those buffers, carried on).
During February there was a problem over a weekend with tape access for the Castor GEN instance. A network misconfiguration had been introduced after some tape servers had been physically moved.</t>
  </si>
  <si>
    <t>The Hyper-K VO was enabled on the batch farm.</t>
  </si>
  <si>
    <t>Early in the New Year an Atlas D1T0 disk server failed with loss of all data. The problem was triggered by a failed drive. However, errors seen on other disk drives while this one was rebuilding led to loss of the RAID6 array. There were around 960,000 files on the server - around half of which were unique. A post mortem investigation of this incident has been carried out.
A number of disk servers had BIOS updates to alter fan speeds to improve cooling.
One of the tranches of disk purchases failed to be delivered by the end of the Financial Year.</t>
  </si>
  <si>
    <t>Patching for the Meltdown and Spectre bugs took place.  However, there was a significant tail of systems that were not patched until around the end of this quarter.</t>
  </si>
  <si>
    <t>A new members of staff began work during the quarter to work within the Fabric Team with an emphasis on Cloud support.
New Tier1 Manager appointed at end of quarter.</t>
  </si>
  <si>
    <t>1.4.7 FY17 Purchase in production</t>
  </si>
  <si>
    <t>1.4.8 Tier-1 WLCG MoU commitments met</t>
  </si>
  <si>
    <t>1.4.9 Produce the purchasing plan</t>
  </si>
  <si>
    <t>April '18</t>
  </si>
  <si>
    <t>May '18</t>
  </si>
  <si>
    <t>June '18</t>
  </si>
  <si>
    <t>Alastair Dewhurst</t>
  </si>
  <si>
    <t>Late delivery of one tranche will cause some delay.</t>
  </si>
  <si>
    <t>One of the tranches of disk purchases failed to be delivered by the end of the Financial Year.</t>
  </si>
  <si>
    <t>Only one member of staff in the team. A contractor (with previous experience of our set-up) has been brought in to assist while recruitment underway.</t>
  </si>
  <si>
    <t>There have been transitory problems on worker nodes that stops Docker containers being started. Restarting systems resolved this particular problem.</t>
  </si>
  <si>
    <t>The ATLAS quota on Echo was increased in steps to to 5PBytes. At the end of the quarter CMS were starting to make significant use of Echo.
The Upgrade of Echo to the latest CEPH release (“Luminous”) was carried out successfully during January.
The Echo gateways were enabled for dual (IPv4/6) access at the end of February. Note: This uncovered some problems elsewhere in the Tier1's infrstructure. (See 'Networking' below).</t>
  </si>
  <si>
    <t>Sharing of knowledge with others continues and several other staff members are able to make valuable contributions to service delivery and development.</t>
  </si>
  <si>
    <t xml:space="preserve">Availability of effort was a problem this Q with GR spending 70% of his time on TU/UKRI formation work. This should be partially resolved for month 2 of Q2. </t>
  </si>
  <si>
    <t>Smith, Moore, Kelly</t>
  </si>
  <si>
    <t xml:space="preserve">Lopez, Packer, </t>
  </si>
  <si>
    <t>Condurache, Adams, Collier, Ryall, Dibbo</t>
  </si>
  <si>
    <t>Folkes, Prosser, Appleyard, Johnson,Vasilakakos ,Patargias , Packer</t>
  </si>
  <si>
    <t>Bly, Hafeez, Harper, Walia, Summers, Chambers, Masaitis, Gale</t>
  </si>
  <si>
    <t xml:space="preserve">Source: http://argo.egi.eu/lavoisier/opsmon_reports?accept=html </t>
  </si>
  <si>
    <t>In January there were problems with the Atlas Castor instance. High load triggered very poor performace. It was found that one of the tables in the Atlas stager Castor database was badly fragmented. During an overnight outage this table was rebuilt and normal operation restored.
Mid January there were problems over a weekend for LHCb Castor. LHCb were running merging jobs. Contact with LHCb led to them reducing their workload and the service was able to again run normally.</t>
  </si>
  <si>
    <t xml:space="preserve">The IPv6 connections used by the ‘bypass’ route by which data flows avoid the site firewall was moved to share the IPv4 connections. We had been running with separate, 
10Gbit physical links for IPv6 as this would aid investigations of problems etc. However, as we were preparing for larger IPv6 data flows in/out of Echo the IPv6 connection was moved to share the IPv6 connections on the 40Gbit connections. </t>
  </si>
  <si>
    <t>In February there was a problem when there was a high rate of GridFTP writes into Echo. This was traced to a problem with available network (IP) ports. Although these were not exhausted the GridFTP server believed they were - it transpired that GridFTP requires a contiguous set of ports to be available. The available port range was increased resolving the problem.</t>
  </si>
  <si>
    <t>There were problems with FTS transfers to/from Echo via our FTS service after the Echo gateways were enabled for IPv6. It was quickly realized that the load balancers in front of  the FTS nodes were not enabled for IPv6 (although the FTS service itself was). However, fixing this did not resolve the problem. After investigation a race condition in our system configuration utility (Quattor) was found. This caused the IPv6 configuration not to be applied correctly in some cases. Fixing this resolved the FTS issues.
One morning during February there was a problem with two of the three connections that make up the OPN link to CERN. This corresponded with a problem reported by Janet at London Powergate (their updated also indicated that two of our links were affected). We saw the one remaining link maxing out inbound. This was resolved around midday. However, one of the links then showed errors. That link was downed for a while until that was sorted. By the following morning all three links were again fully operational.
Towards the end of March we received a number of GGUS tickets reporting problems with Xrootd access. It was found that that a firewall rule had been dropped - effectively blocking the protocol. The rule was reinstated.</t>
  </si>
  <si>
    <t>Q218</t>
  </si>
  <si>
    <t>Comment Q218</t>
  </si>
  <si>
    <t>% Lost disk server hours due to hardware problems over deployed base</t>
  </si>
  <si>
    <t>In April four disk servers have been deployed into Castor GenTape and the older ones withdrawn from service.</t>
  </si>
  <si>
    <t>The Top-BDII was dual-stacked IPv4 and IPv6 in April.</t>
  </si>
  <si>
    <t>There have been problems with IPv6 connections when the Tier1 Router pair fails over. This was first found in April. The problem is not yet resolved.
At the end of April one of the three links that make up the OPN connection went down. It was fixed some hours later - by a reset of the line card at RAL.</t>
  </si>
  <si>
    <t>An upgrade (replacement) of the RAL firewall was deployed in April.This does IPv6 in hardware as well as alleviating some bottlenecks caused by the previous one.
The external connection from RAL to Janet was upgraded from redundant 40Gbit connections to redundant 100Gbit connections in June.</t>
  </si>
  <si>
    <t>At the start of April a minor CEPH update was applied to Echo to fix the ‘backfill’ bug. This will make adding more hardware into Echo easier.</t>
  </si>
  <si>
    <t>In April new Docker images rolled out across entire batch farm to fix a security issue with Singularity.
Job Submissions enabled and working for Dune and SKA.</t>
  </si>
  <si>
    <t>Work on a Rucio demonstrator for SKA.</t>
  </si>
  <si>
    <t>RT ticket system used internally migrated to a VM with new OS.</t>
  </si>
  <si>
    <t>No major problems encountered. Service ran smoothly during this period. Response time for GGUS tickets within OLA.</t>
  </si>
  <si>
    <t>2018Q2: APEL team were doing some effort profiling so small amounts in April and May.</t>
  </si>
  <si>
    <t>Tight management of the ECHO project is carefuly monitoring progress. There has been one notable data loss incident. However, experience so far corroborates that expected from the risk register. Atlas and CMS have now switched to using Echo and it is delivering sufficient bandwidth. Any bandwidth limitations are in the gateways and here we are providing gateways on each of our worker nodes as well as the general usage ones. This risk is diminishing as operational experience builds.</t>
  </si>
  <si>
    <t>CPU in use. Storage in Echo</t>
  </si>
  <si>
    <t>DONE: CPU in use. Storage in Echo</t>
  </si>
  <si>
    <t>As of Sep 2018: XMA tranche in use; Clustervision not yet.</t>
  </si>
  <si>
    <t>Autumn '18</t>
  </si>
  <si>
    <t>It may take a while to get the disk servers into Echo. (Update September: XMA servers in use. Clustervision awaiting memory upgrade.)</t>
  </si>
  <si>
    <t>Only one member of staff in the team. A contractor (with previous experience of our set-up) assisting.</t>
  </si>
  <si>
    <t>There was a temporary shortage of tape during this quarter while we were sorting out a procurement of more tape media. During this time the free tape pool reduced and Atlas &amp; CMS deleted some files off tape for us to help.</t>
  </si>
  <si>
    <t>See comment above for metric 1.2.2.</t>
  </si>
  <si>
    <t>There has been some delay getting storage into Echo.</t>
  </si>
  <si>
    <t>The OPS tests were failing in May and June because of the problems with the Castor Information Provider ("CIP")</t>
  </si>
  <si>
    <t>In May/June there was a failure of  the system that injected Castor information into the BDII (the "CIP" - or Castor Information Provider). It was initially planned to leave the system off as we see the BDII as a service with a limited future. However, some of the smaller VOs had had problems and the CIP was subsequently put back into operation.</t>
  </si>
  <si>
    <t>Dewhurst</t>
  </si>
  <si>
    <t>Lopez, Packer, Contractor</t>
  </si>
  <si>
    <t>50% of CPU in production by June.  XMA CPU and all storage still behind.</t>
  </si>
  <si>
    <t>Waiting on CPU delivery, storage is being ramped up slowly.</t>
  </si>
  <si>
    <t>Unclear finance situation, new hardware is not in production, so hard to make predictions about what we will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</si>
</sst>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0"/>
    <numFmt numFmtId="165" formatCode="0.0%"/>
  </numFmts>
  <fonts count="14" x14ac:knownFonts="1">
    <font>
      <sz val="10"/>
      <name val="Arial"/>
    </font>
    <font>
      <sz val="11"/>
      <color theme="1"/>
      <name val="Calibri"/>
      <family val="2"/>
      <scheme val="minor"/>
    </font>
    <font>
      <sz val="10"/>
      <name val="Arial"/>
      <family val="2"/>
    </font>
    <font>
      <b/>
      <sz val="10"/>
      <name val="Arial"/>
      <family val="2"/>
    </font>
    <font>
      <b/>
      <sz val="10"/>
      <name val="Arial"/>
      <family val="2"/>
    </font>
    <font>
      <sz val="10"/>
      <name val="Arial"/>
      <family val="2"/>
    </font>
    <font>
      <sz val="12"/>
      <name val="Arial"/>
      <family val="2"/>
    </font>
    <font>
      <b/>
      <sz val="12"/>
      <name val="Arial"/>
      <family val="2"/>
    </font>
    <font>
      <u/>
      <sz val="10"/>
      <color theme="10"/>
      <name val="Arial"/>
      <family val="2"/>
    </font>
    <font>
      <u/>
      <sz val="10"/>
      <color theme="11"/>
      <name val="Arial"/>
      <family val="2"/>
    </font>
    <font>
      <sz val="10"/>
      <color rgb="FFFF0000"/>
      <name val="Arial"/>
      <family val="2"/>
    </font>
    <font>
      <b/>
      <sz val="9"/>
      <color indexed="81"/>
      <name val="Tahoma"/>
      <family val="2"/>
    </font>
    <font>
      <sz val="9"/>
      <color indexed="81"/>
      <name val="Tahoma"/>
      <family val="2"/>
    </font>
    <font>
      <i/>
      <sz val="10"/>
      <name val="Arial"/>
      <family val="2"/>
    </font>
  </fonts>
  <fills count="17">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52"/>
        <bgColor indexed="64"/>
      </patternFill>
    </fill>
    <fill>
      <patternFill patternType="solid">
        <fgColor indexed="46"/>
        <bgColor indexed="64"/>
      </patternFill>
    </fill>
    <fill>
      <patternFill patternType="solid">
        <fgColor indexed="12"/>
        <bgColor indexed="64"/>
      </patternFill>
    </fill>
    <fill>
      <patternFill patternType="solid">
        <fgColor indexed="4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FFC000"/>
        <bgColor indexed="64"/>
      </patternFill>
    </fill>
    <fill>
      <patternFill patternType="solid">
        <fgColor theme="9"/>
        <bgColor indexed="64"/>
      </patternFill>
    </fill>
  </fills>
  <borders count="82">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auto="1"/>
      </left>
      <right/>
      <top style="thin">
        <color auto="1"/>
      </top>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43">
    <xf numFmtId="0" fontId="0" fillId="0" borderId="0"/>
    <xf numFmtId="0" fontId="5"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cellStyleXfs>
  <cellXfs count="411">
    <xf numFmtId="0" fontId="0" fillId="0" borderId="0" xfId="0"/>
    <xf numFmtId="0" fontId="3" fillId="0" borderId="0" xfId="0" applyFont="1"/>
    <xf numFmtId="0" fontId="4" fillId="3" borderId="11" xfId="0" applyFont="1" applyFill="1" applyBorder="1"/>
    <xf numFmtId="0" fontId="0" fillId="3" borderId="12" xfId="0" applyFill="1" applyBorder="1"/>
    <xf numFmtId="0" fontId="4" fillId="2" borderId="13" xfId="0" applyFont="1" applyFill="1" applyBorder="1"/>
    <xf numFmtId="0" fontId="4" fillId="2" borderId="14" xfId="0" applyFont="1" applyFill="1" applyBorder="1"/>
    <xf numFmtId="0" fontId="4" fillId="3" borderId="1" xfId="0" applyFont="1" applyFill="1" applyBorder="1"/>
    <xf numFmtId="0" fontId="4" fillId="3" borderId="16" xfId="0" applyFont="1" applyFill="1" applyBorder="1"/>
    <xf numFmtId="0" fontId="4" fillId="3" borderId="3" xfId="0" applyFont="1" applyFill="1" applyBorder="1"/>
    <xf numFmtId="0" fontId="0" fillId="3" borderId="15" xfId="0" applyFill="1" applyBorder="1"/>
    <xf numFmtId="0" fontId="4" fillId="2" borderId="11" xfId="0" applyFont="1" applyFill="1" applyBorder="1"/>
    <xf numFmtId="0" fontId="0" fillId="4" borderId="5" xfId="0" applyFill="1" applyBorder="1"/>
    <xf numFmtId="0" fontId="0" fillId="0" borderId="8" xfId="0" applyBorder="1"/>
    <xf numFmtId="0" fontId="0" fillId="5" borderId="18" xfId="0" applyFill="1" applyBorder="1"/>
    <xf numFmtId="0" fontId="0" fillId="0" borderId="19" xfId="0" applyBorder="1"/>
    <xf numFmtId="0" fontId="0" fillId="0" borderId="18" xfId="0" applyFill="1" applyBorder="1"/>
    <xf numFmtId="0" fontId="0" fillId="6" borderId="20" xfId="0" applyFill="1" applyBorder="1"/>
    <xf numFmtId="0" fontId="0" fillId="0" borderId="21" xfId="0" applyBorder="1"/>
    <xf numFmtId="0" fontId="4" fillId="2" borderId="22" xfId="0" applyFont="1" applyFill="1" applyBorder="1"/>
    <xf numFmtId="0" fontId="0" fillId="0" borderId="23" xfId="0" applyFill="1" applyBorder="1"/>
    <xf numFmtId="0" fontId="0" fillId="0" borderId="24" xfId="0" applyFill="1" applyBorder="1"/>
    <xf numFmtId="0" fontId="0" fillId="0" borderId="12" xfId="0" applyFill="1" applyBorder="1"/>
    <xf numFmtId="0" fontId="0" fillId="0" borderId="25" xfId="0" applyFill="1" applyBorder="1"/>
    <xf numFmtId="0" fontId="2" fillId="7" borderId="18" xfId="0" applyFont="1" applyFill="1" applyBorder="1"/>
    <xf numFmtId="0" fontId="0" fillId="4" borderId="26" xfId="0" applyFill="1" applyBorder="1"/>
    <xf numFmtId="0" fontId="0" fillId="5" borderId="27" xfId="0" applyFill="1" applyBorder="1"/>
    <xf numFmtId="0" fontId="0" fillId="8" borderId="27" xfId="0" applyFill="1" applyBorder="1"/>
    <xf numFmtId="0" fontId="0" fillId="0" borderId="0" xfId="0" applyAlignment="1">
      <alignment wrapText="1"/>
    </xf>
    <xf numFmtId="0" fontId="0" fillId="0" borderId="0" xfId="0" applyFill="1" applyBorder="1"/>
    <xf numFmtId="0" fontId="4" fillId="2" borderId="0" xfId="0" applyFont="1" applyFill="1" applyBorder="1"/>
    <xf numFmtId="0" fontId="0" fillId="0" borderId="0" xfId="0" applyFill="1"/>
    <xf numFmtId="0" fontId="5" fillId="0" borderId="0" xfId="0" applyFont="1" applyFill="1" applyBorder="1" applyAlignment="1">
      <alignment horizontal="left" vertical="top" wrapText="1"/>
    </xf>
    <xf numFmtId="15" fontId="5" fillId="0" borderId="0" xfId="0" applyNumberFormat="1" applyFont="1" applyFill="1" applyBorder="1" applyAlignment="1">
      <alignment horizontal="center" vertical="top" wrapText="1"/>
    </xf>
    <xf numFmtId="0" fontId="0" fillId="7" borderId="0" xfId="0" applyFill="1"/>
    <xf numFmtId="0" fontId="0" fillId="0" borderId="30" xfId="0" applyFill="1" applyBorder="1" applyAlignment="1">
      <alignment wrapText="1"/>
    </xf>
    <xf numFmtId="0" fontId="0" fillId="0" borderId="23" xfId="0" applyFill="1" applyBorder="1" applyAlignment="1">
      <alignment wrapText="1"/>
    </xf>
    <xf numFmtId="0" fontId="4" fillId="0" borderId="0" xfId="0" applyFont="1" applyFill="1" applyBorder="1"/>
    <xf numFmtId="164" fontId="4" fillId="2" borderId="27" xfId="0" applyNumberFormat="1" applyFont="1" applyFill="1" applyBorder="1" applyAlignment="1">
      <alignment wrapText="1"/>
    </xf>
    <xf numFmtId="0" fontId="0" fillId="0" borderId="33" xfId="0" applyBorder="1"/>
    <xf numFmtId="0" fontId="5" fillId="0" borderId="33" xfId="0" applyFont="1" applyFill="1" applyBorder="1" applyAlignment="1">
      <alignment horizontal="left" vertical="top" wrapText="1"/>
    </xf>
    <xf numFmtId="9" fontId="5" fillId="0" borderId="34" xfId="0" applyNumberFormat="1" applyFont="1" applyFill="1" applyBorder="1" applyAlignment="1">
      <alignment horizontal="left" vertical="top" wrapText="1"/>
    </xf>
    <xf numFmtId="0" fontId="5" fillId="0" borderId="34" xfId="0" applyFont="1" applyFill="1" applyBorder="1" applyAlignment="1">
      <alignment horizontal="left" vertical="top" wrapText="1"/>
    </xf>
    <xf numFmtId="0" fontId="4" fillId="2" borderId="31" xfId="0" applyFont="1" applyFill="1" applyBorder="1" applyAlignment="1">
      <alignment wrapText="1"/>
    </xf>
    <xf numFmtId="0" fontId="4" fillId="2" borderId="36" xfId="0" applyFont="1" applyFill="1" applyBorder="1" applyAlignment="1">
      <alignment wrapText="1"/>
    </xf>
    <xf numFmtId="0" fontId="5" fillId="0" borderId="32" xfId="0" applyFont="1" applyFill="1" applyBorder="1" applyAlignment="1">
      <alignment horizontal="left" vertical="top" wrapText="1"/>
    </xf>
    <xf numFmtId="9" fontId="5" fillId="0" borderId="38" xfId="0" applyNumberFormat="1" applyFont="1" applyFill="1" applyBorder="1" applyAlignment="1">
      <alignment horizontal="left" vertical="top" wrapText="1"/>
    </xf>
    <xf numFmtId="0" fontId="0" fillId="0" borderId="4" xfId="0" applyBorder="1" applyAlignment="1">
      <alignment wrapText="1"/>
    </xf>
    <xf numFmtId="0" fontId="0" fillId="0" borderId="39" xfId="0" applyBorder="1" applyAlignment="1">
      <alignment wrapText="1"/>
    </xf>
    <xf numFmtId="0" fontId="0" fillId="0" borderId="40" xfId="0" applyBorder="1" applyAlignment="1">
      <alignment wrapText="1"/>
    </xf>
    <xf numFmtId="0" fontId="3" fillId="3" borderId="5" xfId="0" applyFont="1" applyFill="1" applyBorder="1" applyAlignment="1">
      <alignment wrapText="1"/>
    </xf>
    <xf numFmtId="0" fontId="4" fillId="0" borderId="0" xfId="0" applyFont="1"/>
    <xf numFmtId="0" fontId="0" fillId="9" borderId="0" xfId="0" applyFill="1"/>
    <xf numFmtId="0" fontId="0" fillId="10" borderId="0" xfId="0" applyFill="1"/>
    <xf numFmtId="0" fontId="5" fillId="0" borderId="48"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xf numFmtId="0" fontId="0" fillId="8" borderId="0" xfId="0" applyFill="1"/>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4" fillId="0" borderId="31" xfId="0" applyFont="1" applyFill="1" applyBorder="1" applyAlignment="1">
      <alignment vertical="center" wrapText="1"/>
    </xf>
    <xf numFmtId="0" fontId="3" fillId="0" borderId="29" xfId="0" applyFont="1" applyFill="1" applyBorder="1" applyAlignment="1">
      <alignment vertical="center" wrapText="1"/>
    </xf>
    <xf numFmtId="0" fontId="5" fillId="11" borderId="33" xfId="0" applyFont="1" applyFill="1" applyBorder="1" applyAlignment="1">
      <alignment wrapText="1"/>
    </xf>
    <xf numFmtId="9" fontId="5" fillId="12" borderId="34" xfId="0" applyNumberFormat="1" applyFont="1" applyFill="1" applyBorder="1" applyAlignment="1">
      <alignment horizontal="left" vertical="top" wrapText="1"/>
    </xf>
    <xf numFmtId="2" fontId="0" fillId="0" borderId="0" xfId="0" applyNumberFormat="1" applyFill="1"/>
    <xf numFmtId="0" fontId="2" fillId="0" borderId="23" xfId="0" applyFont="1" applyFill="1" applyBorder="1"/>
    <xf numFmtId="164" fontId="3" fillId="2" borderId="27" xfId="0" applyNumberFormat="1" applyFont="1" applyFill="1" applyBorder="1" applyAlignment="1">
      <alignment wrapText="1"/>
    </xf>
    <xf numFmtId="164" fontId="4" fillId="0" borderId="27" xfId="0" applyNumberFormat="1" applyFont="1" applyFill="1" applyBorder="1" applyAlignment="1">
      <alignment wrapText="1"/>
    </xf>
    <xf numFmtId="0" fontId="4" fillId="0" borderId="31" xfId="0" applyFont="1" applyFill="1" applyBorder="1" applyAlignment="1">
      <alignment wrapText="1"/>
    </xf>
    <xf numFmtId="0" fontId="0" fillId="0" borderId="33" xfId="0" applyFill="1" applyBorder="1" applyAlignment="1">
      <alignment wrapText="1"/>
    </xf>
    <xf numFmtId="164" fontId="4" fillId="0" borderId="35" xfId="0" applyNumberFormat="1" applyFont="1" applyFill="1" applyBorder="1" applyAlignment="1">
      <alignment wrapText="1"/>
    </xf>
    <xf numFmtId="0" fontId="4" fillId="0" borderId="36" xfId="0" applyFont="1" applyFill="1" applyBorder="1" applyAlignment="1">
      <alignment wrapText="1"/>
    </xf>
    <xf numFmtId="0" fontId="0" fillId="0" borderId="37" xfId="0" applyFill="1" applyBorder="1" applyAlignment="1">
      <alignment wrapText="1"/>
    </xf>
    <xf numFmtId="0" fontId="0" fillId="0" borderId="32" xfId="0" applyFill="1" applyBorder="1" applyAlignment="1">
      <alignment wrapText="1"/>
    </xf>
    <xf numFmtId="0" fontId="3" fillId="3" borderId="23" xfId="0" applyFont="1" applyFill="1" applyBorder="1" applyAlignment="1">
      <alignment wrapText="1"/>
    </xf>
    <xf numFmtId="0" fontId="3" fillId="3" borderId="12" xfId="0" applyFont="1" applyFill="1" applyBorder="1" applyAlignment="1">
      <alignment wrapText="1"/>
    </xf>
    <xf numFmtId="0" fontId="3" fillId="2" borderId="25" xfId="0" applyFont="1" applyFill="1" applyBorder="1" applyAlignment="1">
      <alignment wrapText="1"/>
    </xf>
    <xf numFmtId="0" fontId="3" fillId="2" borderId="23" xfId="0" applyFont="1" applyFill="1" applyBorder="1" applyAlignment="1">
      <alignment wrapText="1"/>
    </xf>
    <xf numFmtId="0" fontId="3" fillId="3" borderId="25" xfId="0" applyFont="1" applyFill="1" applyBorder="1" applyAlignment="1">
      <alignment wrapText="1"/>
    </xf>
    <xf numFmtId="0" fontId="3" fillId="3" borderId="24" xfId="0" applyFont="1" applyFill="1" applyBorder="1" applyAlignment="1">
      <alignment wrapText="1"/>
    </xf>
    <xf numFmtId="9" fontId="5" fillId="12" borderId="33" xfId="0" applyNumberFormat="1" applyFont="1" applyFill="1" applyBorder="1" applyAlignment="1">
      <alignment horizontal="left" vertical="top" wrapText="1"/>
    </xf>
    <xf numFmtId="9" fontId="5" fillId="12" borderId="51" xfId="0" applyNumberFormat="1" applyFont="1" applyFill="1" applyBorder="1" applyAlignment="1">
      <alignment horizontal="left" vertical="top" wrapText="1"/>
    </xf>
    <xf numFmtId="1" fontId="5" fillId="0" borderId="34" xfId="0" applyNumberFormat="1" applyFont="1" applyFill="1" applyBorder="1" applyAlignment="1">
      <alignment horizontal="left" vertical="top" wrapText="1"/>
    </xf>
    <xf numFmtId="1" fontId="2" fillId="0" borderId="34" xfId="0" applyNumberFormat="1" applyFont="1" applyFill="1" applyBorder="1" applyAlignment="1">
      <alignment horizontal="left" vertical="top" wrapText="1"/>
    </xf>
    <xf numFmtId="0" fontId="2" fillId="0" borderId="0" xfId="0" applyFont="1" applyFill="1" applyAlignment="1">
      <alignment wrapText="1"/>
    </xf>
    <xf numFmtId="0" fontId="2" fillId="0" borderId="23" xfId="0" applyFont="1" applyFill="1" applyBorder="1" applyAlignment="1">
      <alignment wrapText="1"/>
    </xf>
    <xf numFmtId="0" fontId="6" fillId="0" borderId="0" xfId="0" applyFont="1" applyFill="1"/>
    <xf numFmtId="0" fontId="7" fillId="0" borderId="1" xfId="0" applyFont="1" applyFill="1" applyBorder="1"/>
    <xf numFmtId="0" fontId="7" fillId="0" borderId="15" xfId="0" applyFont="1" applyFill="1" applyBorder="1"/>
    <xf numFmtId="0" fontId="7" fillId="0" borderId="22" xfId="0" applyFont="1" applyFill="1" applyBorder="1"/>
    <xf numFmtId="0" fontId="6" fillId="0" borderId="25" xfId="0" applyFont="1" applyFill="1" applyBorder="1"/>
    <xf numFmtId="0" fontId="7" fillId="0" borderId="13" xfId="0" applyFont="1" applyFill="1" applyBorder="1"/>
    <xf numFmtId="0" fontId="7" fillId="0" borderId="14" xfId="0" applyFont="1" applyFill="1" applyBorder="1"/>
    <xf numFmtId="0" fontId="6" fillId="0" borderId="24" xfId="0" applyFont="1" applyFill="1" applyBorder="1"/>
    <xf numFmtId="0" fontId="7" fillId="0" borderId="0" xfId="0" applyFont="1" applyFill="1"/>
    <xf numFmtId="0" fontId="7" fillId="0" borderId="2" xfId="0" applyFont="1" applyFill="1" applyBorder="1" applyAlignment="1">
      <alignment wrapText="1"/>
    </xf>
    <xf numFmtId="0" fontId="7" fillId="0" borderId="17"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7" fillId="0" borderId="28" xfId="0" applyFont="1" applyFill="1" applyBorder="1" applyAlignment="1">
      <alignment wrapText="1"/>
    </xf>
    <xf numFmtId="0" fontId="7" fillId="0" borderId="41" xfId="1" applyFont="1" applyFill="1" applyBorder="1"/>
    <xf numFmtId="0" fontId="7" fillId="0" borderId="41" xfId="0" applyFont="1" applyFill="1" applyBorder="1" applyAlignment="1">
      <alignment wrapText="1"/>
    </xf>
    <xf numFmtId="0" fontId="7" fillId="0" borderId="31" xfId="0" applyFont="1" applyFill="1" applyBorder="1" applyAlignment="1">
      <alignment wrapText="1"/>
    </xf>
    <xf numFmtId="0" fontId="7" fillId="0" borderId="42" xfId="1" applyFont="1" applyFill="1" applyBorder="1"/>
    <xf numFmtId="0" fontId="7" fillId="0" borderId="42" xfId="0" applyFont="1" applyFill="1" applyBorder="1" applyAlignment="1">
      <alignment wrapText="1"/>
    </xf>
    <xf numFmtId="0" fontId="7" fillId="0" borderId="20" xfId="0" applyFont="1" applyFill="1" applyBorder="1"/>
    <xf numFmtId="0" fontId="7" fillId="0" borderId="44" xfId="0" applyFont="1" applyFill="1" applyBorder="1"/>
    <xf numFmtId="0" fontId="7" fillId="0" borderId="21" xfId="0" applyFont="1" applyFill="1" applyBorder="1"/>
    <xf numFmtId="2" fontId="7" fillId="0" borderId="1" xfId="0" applyNumberFormat="1" applyFont="1" applyFill="1" applyBorder="1"/>
    <xf numFmtId="0" fontId="6" fillId="0" borderId="0" xfId="0" applyFont="1"/>
    <xf numFmtId="2" fontId="6" fillId="0" borderId="0" xfId="0" applyNumberFormat="1" applyFont="1"/>
    <xf numFmtId="0" fontId="6" fillId="0" borderId="0" xfId="1" applyFont="1"/>
    <xf numFmtId="0" fontId="2" fillId="0" borderId="0" xfId="0" applyFont="1" applyFill="1"/>
    <xf numFmtId="0" fontId="2" fillId="0" borderId="0" xfId="0" applyFont="1" applyFill="1" applyBorder="1"/>
    <xf numFmtId="9" fontId="5" fillId="13" borderId="34" xfId="0" applyNumberFormat="1" applyFont="1" applyFill="1" applyBorder="1" applyAlignment="1">
      <alignment horizontal="left" vertical="top" wrapText="1"/>
    </xf>
    <xf numFmtId="0" fontId="5" fillId="0" borderId="23" xfId="0" applyFont="1" applyFill="1" applyBorder="1" applyAlignment="1">
      <alignment wrapText="1"/>
    </xf>
    <xf numFmtId="0" fontId="0" fillId="14" borderId="33" xfId="0" applyFill="1" applyBorder="1"/>
    <xf numFmtId="0" fontId="5" fillId="14" borderId="32" xfId="0" applyFont="1" applyFill="1" applyBorder="1" applyAlignment="1">
      <alignment wrapText="1"/>
    </xf>
    <xf numFmtId="0" fontId="5" fillId="14" borderId="33" xfId="0" applyFont="1" applyFill="1" applyBorder="1" applyAlignment="1">
      <alignment wrapText="1"/>
    </xf>
    <xf numFmtId="0" fontId="0" fillId="14" borderId="33" xfId="0" applyFill="1" applyBorder="1" applyAlignment="1">
      <alignment wrapText="1"/>
    </xf>
    <xf numFmtId="0" fontId="0" fillId="0" borderId="0" xfId="0" applyBorder="1" applyAlignment="1">
      <alignment wrapText="1"/>
    </xf>
    <xf numFmtId="165" fontId="5" fillId="12" borderId="34" xfId="0" applyNumberFormat="1" applyFont="1" applyFill="1" applyBorder="1" applyAlignment="1">
      <alignment horizontal="left" vertical="top" wrapText="1"/>
    </xf>
    <xf numFmtId="0" fontId="0" fillId="0" borderId="0" xfId="0" applyFill="1" applyAlignment="1">
      <alignment wrapText="1"/>
    </xf>
    <xf numFmtId="2" fontId="6" fillId="12" borderId="52" xfId="0" applyNumberFormat="1" applyFont="1" applyFill="1" applyBorder="1" applyAlignment="1">
      <alignment wrapText="1"/>
    </xf>
    <xf numFmtId="2" fontId="6" fillId="12" borderId="37" xfId="0" applyNumberFormat="1" applyFont="1" applyFill="1" applyBorder="1" applyAlignment="1">
      <alignment wrapText="1"/>
    </xf>
    <xf numFmtId="2" fontId="6" fillId="12" borderId="30" xfId="0" applyNumberFormat="1" applyFont="1" applyFill="1" applyBorder="1" applyAlignment="1">
      <alignment wrapText="1"/>
    </xf>
    <xf numFmtId="2" fontId="6" fillId="12" borderId="53" xfId="0" applyNumberFormat="1" applyFont="1" applyFill="1" applyBorder="1" applyAlignment="1">
      <alignment wrapText="1"/>
    </xf>
    <xf numFmtId="0" fontId="0" fillId="0" borderId="42" xfId="0" applyBorder="1" applyAlignment="1">
      <alignment wrapText="1"/>
    </xf>
    <xf numFmtId="0" fontId="0" fillId="0" borderId="42" xfId="0" applyFill="1" applyBorder="1" applyAlignment="1">
      <alignment wrapText="1"/>
    </xf>
    <xf numFmtId="0" fontId="2" fillId="0" borderId="42" xfId="0" applyFont="1" applyFill="1" applyBorder="1" applyAlignment="1">
      <alignment wrapText="1"/>
    </xf>
    <xf numFmtId="0" fontId="0" fillId="0" borderId="42" xfId="0" applyNumberFormat="1" applyFont="1" applyFill="1" applyBorder="1" applyAlignment="1" applyProtection="1">
      <alignment horizontal="left" vertical="top" wrapText="1"/>
    </xf>
    <xf numFmtId="0" fontId="5" fillId="0" borderId="42" xfId="0" applyFont="1" applyFill="1" applyBorder="1" applyAlignment="1">
      <alignment horizontal="left" vertical="top" wrapText="1"/>
    </xf>
    <xf numFmtId="0" fontId="2" fillId="0" borderId="60" xfId="0" applyFont="1" applyFill="1" applyBorder="1" applyAlignment="1">
      <alignment wrapText="1"/>
    </xf>
    <xf numFmtId="0" fontId="2" fillId="0" borderId="23" xfId="0" applyFont="1" applyFill="1" applyBorder="1" applyAlignment="1">
      <alignment vertical="top" wrapText="1"/>
    </xf>
    <xf numFmtId="0" fontId="0" fillId="12" borderId="51" xfId="0" applyFill="1" applyBorder="1" applyAlignment="1">
      <alignment horizontal="left"/>
    </xf>
    <xf numFmtId="2" fontId="5" fillId="12" borderId="34" xfId="0" applyNumberFormat="1" applyFont="1" applyFill="1" applyBorder="1" applyAlignment="1">
      <alignment horizontal="left" vertical="top" wrapText="1"/>
    </xf>
    <xf numFmtId="10" fontId="5" fillId="12" borderId="34" xfId="0" applyNumberFormat="1" applyFont="1" applyFill="1" applyBorder="1" applyAlignment="1">
      <alignment horizontal="left" vertical="top" wrapText="1"/>
    </xf>
    <xf numFmtId="0" fontId="10" fillId="0" borderId="0" xfId="0" applyFont="1"/>
    <xf numFmtId="2" fontId="6" fillId="0" borderId="52" xfId="0" applyNumberFormat="1" applyFont="1" applyFill="1" applyBorder="1" applyAlignment="1">
      <alignment wrapText="1"/>
    </xf>
    <xf numFmtId="2" fontId="6" fillId="0" borderId="45" xfId="0" applyNumberFormat="1" applyFont="1" applyFill="1" applyBorder="1" applyAlignment="1">
      <alignment wrapText="1"/>
    </xf>
    <xf numFmtId="2" fontId="6" fillId="0" borderId="12" xfId="0" applyNumberFormat="1" applyFont="1" applyFill="1" applyBorder="1" applyAlignment="1">
      <alignment wrapText="1"/>
    </xf>
    <xf numFmtId="2" fontId="6" fillId="0" borderId="37" xfId="0" applyNumberFormat="1" applyFont="1" applyFill="1" applyBorder="1" applyAlignment="1">
      <alignment wrapText="1"/>
    </xf>
    <xf numFmtId="2" fontId="6" fillId="0" borderId="30" xfId="0" applyNumberFormat="1" applyFont="1" applyFill="1" applyBorder="1" applyAlignment="1">
      <alignment wrapText="1"/>
    </xf>
    <xf numFmtId="2" fontId="6" fillId="0" borderId="33" xfId="0" applyNumberFormat="1" applyFont="1" applyFill="1" applyBorder="1" applyAlignment="1">
      <alignment wrapText="1"/>
    </xf>
    <xf numFmtId="2" fontId="6" fillId="0" borderId="23" xfId="0" applyNumberFormat="1" applyFont="1" applyFill="1" applyBorder="1" applyAlignment="1">
      <alignment wrapText="1"/>
    </xf>
    <xf numFmtId="2" fontId="6" fillId="0" borderId="53" xfId="0" applyNumberFormat="1" applyFont="1" applyFill="1" applyBorder="1" applyAlignment="1">
      <alignment wrapText="1"/>
    </xf>
    <xf numFmtId="9" fontId="0" fillId="12" borderId="34" xfId="0" applyNumberFormat="1" applyFont="1" applyFill="1" applyBorder="1" applyAlignment="1">
      <alignment horizontal="left" vertical="top" wrapText="1"/>
    </xf>
    <xf numFmtId="0" fontId="3" fillId="3" borderId="16" xfId="0" applyFont="1" applyFill="1" applyBorder="1" applyAlignment="1">
      <alignment wrapText="1"/>
    </xf>
    <xf numFmtId="0" fontId="2" fillId="0" borderId="33" xfId="0" applyFont="1" applyFill="1" applyBorder="1" applyAlignment="1">
      <alignment horizontal="left" vertical="top" wrapText="1"/>
    </xf>
    <xf numFmtId="0" fontId="0" fillId="2" borderId="23" xfId="0" applyFill="1" applyBorder="1" applyAlignment="1">
      <alignment horizontal="justify" wrapText="1"/>
    </xf>
    <xf numFmtId="0" fontId="0" fillId="2" borderId="34" xfId="0" applyFill="1" applyBorder="1" applyAlignment="1">
      <alignment horizontal="justify" wrapText="1"/>
    </xf>
    <xf numFmtId="0" fontId="2" fillId="2" borderId="62" xfId="0" applyFont="1" applyFill="1" applyBorder="1" applyAlignment="1">
      <alignment horizontal="justify" wrapText="1"/>
    </xf>
    <xf numFmtId="0" fontId="0" fillId="0" borderId="33" xfId="0" applyFont="1" applyFill="1" applyBorder="1" applyAlignment="1">
      <alignment vertical="top"/>
    </xf>
    <xf numFmtId="0" fontId="0" fillId="0" borderId="33" xfId="0" applyBorder="1" applyAlignment="1">
      <alignment wrapText="1"/>
    </xf>
    <xf numFmtId="0" fontId="0" fillId="2" borderId="23" xfId="0" applyFont="1" applyFill="1" applyBorder="1" applyAlignment="1">
      <alignment wrapText="1"/>
    </xf>
    <xf numFmtId="0" fontId="2" fillId="2" borderId="23" xfId="0" applyFont="1" applyFill="1" applyBorder="1" applyAlignment="1">
      <alignment wrapText="1"/>
    </xf>
    <xf numFmtId="17" fontId="2" fillId="2" borderId="33" xfId="0" applyNumberFormat="1" applyFont="1" applyFill="1" applyBorder="1"/>
    <xf numFmtId="0" fontId="3" fillId="2" borderId="22" xfId="0" applyFont="1" applyFill="1" applyBorder="1" applyAlignment="1">
      <alignment horizontal="right"/>
    </xf>
    <xf numFmtId="164" fontId="3" fillId="0" borderId="0" xfId="0" applyNumberFormat="1" applyFont="1" applyFill="1" applyBorder="1" applyAlignment="1">
      <alignment wrapText="1"/>
    </xf>
    <xf numFmtId="0" fontId="0" fillId="2" borderId="63" xfId="0" applyFill="1" applyBorder="1" applyAlignment="1">
      <alignment horizontal="justify" wrapText="1"/>
    </xf>
    <xf numFmtId="0" fontId="0" fillId="2" borderId="64" xfId="0" applyFill="1" applyBorder="1" applyAlignment="1">
      <alignment horizontal="justify" wrapText="1"/>
    </xf>
    <xf numFmtId="0" fontId="0" fillId="2" borderId="65" xfId="0" applyFill="1" applyBorder="1" applyAlignment="1">
      <alignment horizontal="justify" wrapText="1"/>
    </xf>
    <xf numFmtId="0" fontId="0" fillId="0" borderId="66" xfId="0" applyBorder="1"/>
    <xf numFmtId="0" fontId="0" fillId="0" borderId="66" xfId="0" applyFont="1" applyFill="1" applyBorder="1" applyAlignment="1">
      <alignment vertical="top"/>
    </xf>
    <xf numFmtId="0" fontId="0" fillId="0" borderId="66" xfId="0" applyBorder="1" applyAlignment="1">
      <alignment wrapText="1"/>
    </xf>
    <xf numFmtId="0" fontId="2" fillId="0" borderId="67" xfId="0" applyFont="1" applyFill="1" applyBorder="1" applyAlignment="1">
      <alignment wrapText="1"/>
    </xf>
    <xf numFmtId="0" fontId="0" fillId="2" borderId="68" xfId="0" applyFill="1" applyBorder="1" applyAlignment="1">
      <alignment horizontal="justify" wrapText="1"/>
    </xf>
    <xf numFmtId="0" fontId="0" fillId="0" borderId="69" xfId="0" applyFill="1" applyBorder="1"/>
    <xf numFmtId="0" fontId="5" fillId="0" borderId="69" xfId="0" applyFont="1" applyFill="1" applyBorder="1" applyAlignment="1">
      <alignment wrapText="1"/>
    </xf>
    <xf numFmtId="0" fontId="3" fillId="3" borderId="4" xfId="0" applyFont="1" applyFill="1" applyBorder="1"/>
    <xf numFmtId="0" fontId="2" fillId="0" borderId="42" xfId="0" applyFont="1" applyBorder="1" applyAlignment="1">
      <alignment wrapText="1"/>
    </xf>
    <xf numFmtId="9" fontId="5" fillId="0" borderId="61" xfId="0" applyNumberFormat="1" applyFont="1" applyFill="1" applyBorder="1" applyAlignment="1">
      <alignment horizontal="left" vertical="top" wrapText="1"/>
    </xf>
    <xf numFmtId="2" fontId="2" fillId="12" borderId="34" xfId="0" applyNumberFormat="1" applyFont="1" applyFill="1" applyBorder="1" applyAlignment="1">
      <alignment horizontal="left" vertical="top" wrapText="1"/>
    </xf>
    <xf numFmtId="165" fontId="2" fillId="12" borderId="34" xfId="0" applyNumberFormat="1" applyFont="1" applyFill="1" applyBorder="1" applyAlignment="1">
      <alignment horizontal="left" vertical="top" wrapText="1"/>
    </xf>
    <xf numFmtId="9" fontId="5" fillId="15" borderId="34" xfId="0" applyNumberFormat="1" applyFont="1" applyFill="1" applyBorder="1" applyAlignment="1">
      <alignment horizontal="left" vertical="top" wrapText="1"/>
    </xf>
    <xf numFmtId="0" fontId="3" fillId="12" borderId="22" xfId="0" applyFont="1" applyFill="1" applyBorder="1" applyAlignment="1">
      <alignment horizontal="right"/>
    </xf>
    <xf numFmtId="0" fontId="2" fillId="12" borderId="23" xfId="0" applyFont="1" applyFill="1" applyBorder="1" applyAlignment="1">
      <alignment wrapText="1"/>
    </xf>
    <xf numFmtId="17" fontId="2" fillId="12" borderId="33" xfId="0" applyNumberFormat="1" applyFont="1" applyFill="1" applyBorder="1"/>
    <xf numFmtId="17" fontId="2" fillId="12" borderId="23" xfId="0" applyNumberFormat="1" applyFont="1" applyFill="1" applyBorder="1" applyAlignment="1">
      <alignment vertical="top" wrapText="1"/>
    </xf>
    <xf numFmtId="0" fontId="2" fillId="12" borderId="23" xfId="0" applyFont="1" applyFill="1" applyBorder="1" applyAlignment="1">
      <alignmen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0" fontId="0" fillId="12" borderId="34" xfId="0" applyFill="1" applyBorder="1" applyAlignment="1">
      <alignment wrapText="1"/>
    </xf>
    <xf numFmtId="0" fontId="3" fillId="2" borderId="31" xfId="0" applyFont="1" applyFill="1" applyBorder="1" applyAlignment="1">
      <alignment wrapText="1"/>
    </xf>
    <xf numFmtId="164" fontId="3" fillId="2" borderId="31" xfId="0" applyNumberFormat="1" applyFont="1" applyFill="1" applyBorder="1" applyAlignment="1">
      <alignment wrapText="1"/>
    </xf>
    <xf numFmtId="165" fontId="5" fillId="13" borderId="34" xfId="0" applyNumberFormat="1" applyFont="1" applyFill="1" applyBorder="1" applyAlignment="1">
      <alignment horizontal="left" vertical="top" wrapText="1"/>
    </xf>
    <xf numFmtId="9" fontId="5" fillId="16" borderId="34" xfId="0" applyNumberFormat="1" applyFont="1" applyFill="1" applyBorder="1" applyAlignment="1">
      <alignment horizontal="left" vertical="top" wrapText="1"/>
    </xf>
    <xf numFmtId="165" fontId="2" fillId="13" borderId="34" xfId="0" applyNumberFormat="1" applyFont="1" applyFill="1" applyBorder="1" applyAlignment="1">
      <alignment horizontal="left" vertical="top" wrapText="1"/>
    </xf>
    <xf numFmtId="0" fontId="0" fillId="13" borderId="51" xfId="0" applyFill="1" applyBorder="1" applyAlignment="1">
      <alignment horizontal="left"/>
    </xf>
    <xf numFmtId="9" fontId="5" fillId="15" borderId="59" xfId="0" applyNumberFormat="1" applyFont="1" applyFill="1" applyBorder="1" applyAlignment="1">
      <alignment horizontal="left" vertical="top" wrapText="1"/>
    </xf>
    <xf numFmtId="0" fontId="0" fillId="2" borderId="68" xfId="0" applyFill="1" applyBorder="1" applyAlignment="1">
      <alignment horizontal="justify" vertical="center" wrapText="1"/>
    </xf>
    <xf numFmtId="0" fontId="0" fillId="2" borderId="23" xfId="0" applyFill="1" applyBorder="1" applyAlignment="1">
      <alignment horizontal="justify" vertical="center" wrapText="1"/>
    </xf>
    <xf numFmtId="0" fontId="2" fillId="2" borderId="62" xfId="0" applyFont="1" applyFill="1" applyBorder="1" applyAlignment="1">
      <alignment horizontal="justify" vertical="center" wrapText="1"/>
    </xf>
    <xf numFmtId="0" fontId="0" fillId="0" borderId="33" xfId="0" applyBorder="1" applyAlignment="1">
      <alignment vertical="center"/>
    </xf>
    <xf numFmtId="0" fontId="0" fillId="0" borderId="33" xfId="0" applyFont="1" applyFill="1" applyBorder="1" applyAlignment="1">
      <alignment vertical="center"/>
    </xf>
    <xf numFmtId="0" fontId="2" fillId="0" borderId="33" xfId="0" applyFont="1" applyBorder="1" applyAlignment="1">
      <alignment vertical="center"/>
    </xf>
    <xf numFmtId="0" fontId="0" fillId="0" borderId="33" xfId="0" applyBorder="1" applyAlignment="1">
      <alignment vertical="center" wrapText="1"/>
    </xf>
    <xf numFmtId="0" fontId="2" fillId="0" borderId="70" xfId="0" applyFont="1" applyBorder="1" applyAlignment="1">
      <alignment vertical="center" wrapText="1"/>
    </xf>
    <xf numFmtId="0" fontId="0" fillId="0" borderId="0" xfId="0" applyAlignment="1">
      <alignment vertical="center"/>
    </xf>
    <xf numFmtId="0" fontId="0" fillId="2" borderId="71" xfId="0" applyFill="1" applyBorder="1" applyAlignment="1">
      <alignment horizontal="justify" vertical="center" wrapText="1"/>
    </xf>
    <xf numFmtId="0" fontId="0" fillId="2" borderId="72" xfId="0" applyFill="1" applyBorder="1" applyAlignment="1">
      <alignment horizontal="justify" vertical="center" wrapText="1"/>
    </xf>
    <xf numFmtId="0" fontId="2" fillId="2" borderId="73" xfId="0" applyFont="1" applyFill="1" applyBorder="1" applyAlignment="1">
      <alignment horizontal="justify" vertical="center" wrapText="1"/>
    </xf>
    <xf numFmtId="0" fontId="0" fillId="0" borderId="74" xfId="0" applyBorder="1" applyAlignment="1">
      <alignment vertical="center"/>
    </xf>
    <xf numFmtId="0" fontId="0" fillId="0" borderId="74" xfId="0" applyFont="1" applyFill="1" applyBorder="1" applyAlignment="1">
      <alignment vertical="center"/>
    </xf>
    <xf numFmtId="0" fontId="2" fillId="0" borderId="74" xfId="0" applyFont="1" applyBorder="1" applyAlignment="1">
      <alignment vertical="center"/>
    </xf>
    <xf numFmtId="0" fontId="2" fillId="0" borderId="75" xfId="0" applyFont="1" applyFill="1" applyBorder="1" applyAlignment="1">
      <alignment vertical="center" wrapText="1"/>
    </xf>
    <xf numFmtId="0" fontId="0" fillId="12" borderId="74" xfId="0" applyFill="1" applyBorder="1" applyAlignment="1">
      <alignment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2" fontId="6" fillId="11" borderId="52" xfId="0" applyNumberFormat="1" applyFont="1" applyFill="1" applyBorder="1" applyAlignment="1">
      <alignment wrapText="1"/>
    </xf>
    <xf numFmtId="2" fontId="6" fillId="11" borderId="37" xfId="0" applyNumberFormat="1" applyFont="1" applyFill="1" applyBorder="1" applyAlignment="1">
      <alignment wrapText="1"/>
    </xf>
    <xf numFmtId="1" fontId="0" fillId="12" borderId="34" xfId="0" applyNumberFormat="1" applyFill="1" applyBorder="1" applyAlignment="1">
      <alignment wrapText="1"/>
    </xf>
    <xf numFmtId="10" fontId="0" fillId="12" borderId="34" xfId="0" applyNumberFormat="1" applyFill="1" applyBorder="1" applyAlignment="1">
      <alignment wrapText="1"/>
    </xf>
    <xf numFmtId="165" fontId="2" fillId="15" borderId="34" xfId="0" applyNumberFormat="1" applyFont="1" applyFill="1" applyBorder="1" applyAlignment="1">
      <alignment horizontal="left" vertical="top" wrapText="1"/>
    </xf>
    <xf numFmtId="9" fontId="0" fillId="12" borderId="33" xfId="0" applyNumberFormat="1" applyFill="1" applyBorder="1" applyAlignment="1">
      <alignment vertical="center" wrapText="1"/>
    </xf>
    <xf numFmtId="0" fontId="2" fillId="0" borderId="23" xfId="0" applyFont="1" applyFill="1" applyBorder="1" applyAlignment="1">
      <alignment vertical="center" wrapText="1"/>
    </xf>
    <xf numFmtId="0" fontId="0" fillId="12" borderId="23" xfId="0" applyFont="1" applyFill="1" applyBorder="1" applyAlignment="1">
      <alignment wrapText="1"/>
    </xf>
    <xf numFmtId="0" fontId="3" fillId="15" borderId="22" xfId="0" applyFont="1" applyFill="1" applyBorder="1" applyAlignment="1">
      <alignment horizontal="right"/>
    </xf>
    <xf numFmtId="0" fontId="2" fillId="15" borderId="23" xfId="0" applyFont="1" applyFill="1" applyBorder="1" applyAlignment="1">
      <alignment wrapText="1"/>
    </xf>
    <xf numFmtId="17" fontId="2" fillId="15" borderId="33" xfId="0" applyNumberFormat="1" applyFont="1" applyFill="1" applyBorder="1"/>
    <xf numFmtId="0" fontId="2" fillId="15" borderId="23" xfId="0" applyFont="1" applyFill="1" applyBorder="1" applyAlignment="1">
      <alignment vertical="top" wrapText="1"/>
    </xf>
    <xf numFmtId="0" fontId="13" fillId="12" borderId="23" xfId="0" applyFont="1" applyFill="1" applyBorder="1" applyAlignment="1">
      <alignment vertical="top" wrapText="1"/>
    </xf>
    <xf numFmtId="2" fontId="0" fillId="12" borderId="34" xfId="0" applyNumberFormat="1" applyFill="1" applyBorder="1" applyAlignment="1">
      <alignment wrapText="1"/>
    </xf>
    <xf numFmtId="9" fontId="5" fillId="13" borderId="59" xfId="0" applyNumberFormat="1" applyFont="1" applyFill="1" applyBorder="1" applyAlignment="1">
      <alignment horizontal="left" vertical="top" wrapText="1"/>
    </xf>
    <xf numFmtId="15" fontId="2" fillId="12" borderId="23" xfId="0" applyNumberFormat="1" applyFont="1" applyFill="1" applyBorder="1" applyAlignment="1">
      <alignment vertical="top" wrapText="1"/>
    </xf>
    <xf numFmtId="165" fontId="2" fillId="16" borderId="34" xfId="0" applyNumberFormat="1" applyFont="1" applyFill="1" applyBorder="1" applyAlignment="1">
      <alignment horizontal="left" vertical="top" wrapText="1"/>
    </xf>
    <xf numFmtId="0" fontId="2" fillId="0" borderId="33" xfId="0" applyFont="1" applyBorder="1" applyAlignment="1">
      <alignment vertical="top"/>
    </xf>
    <xf numFmtId="9" fontId="5" fillId="0" borderId="59" xfId="0" applyNumberFormat="1" applyFont="1" applyFill="1" applyBorder="1" applyAlignment="1">
      <alignment horizontal="left" vertical="top" wrapText="1"/>
    </xf>
    <xf numFmtId="9" fontId="0" fillId="12" borderId="51" xfId="0" applyNumberFormat="1" applyFont="1" applyFill="1" applyBorder="1" applyAlignment="1">
      <alignment horizontal="left" vertical="top" wrapText="1"/>
    </xf>
    <xf numFmtId="2" fontId="2" fillId="12" borderId="59" xfId="0" applyNumberFormat="1" applyFont="1" applyFill="1" applyBorder="1" applyAlignment="1">
      <alignment horizontal="left" vertical="top" wrapText="1"/>
    </xf>
    <xf numFmtId="0" fontId="0" fillId="0" borderId="65" xfId="0" applyBorder="1" applyAlignment="1">
      <alignment wrapText="1"/>
    </xf>
    <xf numFmtId="0" fontId="0" fillId="0" borderId="34" xfId="0" applyBorder="1" applyAlignment="1">
      <alignment wrapText="1"/>
    </xf>
    <xf numFmtId="9" fontId="0" fillId="12" borderId="0" xfId="0" applyNumberFormat="1" applyFill="1" applyBorder="1" applyAlignment="1">
      <alignment vertical="center" wrapText="1"/>
    </xf>
    <xf numFmtId="0" fontId="0" fillId="12" borderId="73" xfId="0" applyFill="1" applyBorder="1" applyAlignment="1">
      <alignment wrapText="1"/>
    </xf>
    <xf numFmtId="9" fontId="5" fillId="16" borderId="51" xfId="0" applyNumberFormat="1" applyFont="1" applyFill="1" applyBorder="1" applyAlignment="1">
      <alignment horizontal="left" vertical="top" wrapText="1"/>
    </xf>
    <xf numFmtId="2" fontId="5" fillId="12" borderId="33" xfId="0" applyNumberFormat="1" applyFont="1" applyFill="1" applyBorder="1" applyAlignment="1">
      <alignment horizontal="left" vertical="top" wrapText="1"/>
    </xf>
    <xf numFmtId="10" fontId="5" fillId="12" borderId="33" xfId="0" applyNumberFormat="1" applyFont="1" applyFill="1" applyBorder="1" applyAlignment="1">
      <alignment horizontal="left" vertical="top" wrapText="1"/>
    </xf>
    <xf numFmtId="9" fontId="5" fillId="12" borderId="59" xfId="0" applyNumberFormat="1" applyFont="1" applyFill="1" applyBorder="1" applyAlignment="1">
      <alignment horizontal="left" vertical="top" wrapText="1"/>
    </xf>
    <xf numFmtId="0" fontId="3" fillId="13" borderId="22" xfId="0" applyFont="1" applyFill="1" applyBorder="1" applyAlignment="1">
      <alignment horizontal="right"/>
    </xf>
    <xf numFmtId="0" fontId="2" fillId="13" borderId="23" xfId="0" applyFont="1" applyFill="1" applyBorder="1" applyAlignment="1">
      <alignment wrapText="1"/>
    </xf>
    <xf numFmtId="17" fontId="2" fillId="13" borderId="33" xfId="0" applyNumberFormat="1" applyFont="1" applyFill="1" applyBorder="1"/>
    <xf numFmtId="0" fontId="2" fillId="13" borderId="23" xfId="0" applyFont="1" applyFill="1" applyBorder="1" applyAlignment="1">
      <alignment vertical="top" wrapText="1"/>
    </xf>
    <xf numFmtId="0" fontId="0" fillId="15" borderId="23" xfId="0" applyFont="1" applyFill="1" applyBorder="1" applyAlignment="1">
      <alignment wrapText="1"/>
    </xf>
    <xf numFmtId="0" fontId="7" fillId="0" borderId="2" xfId="0" applyFont="1" applyFill="1" applyBorder="1" applyAlignment="1">
      <alignment horizontal="center"/>
    </xf>
    <xf numFmtId="0" fontId="7" fillId="0" borderId="17" xfId="0" applyFont="1" applyFill="1" applyBorder="1" applyAlignment="1">
      <alignment horizontal="center"/>
    </xf>
    <xf numFmtId="0" fontId="7" fillId="0" borderId="3" xfId="0" applyFont="1" applyFill="1" applyBorder="1" applyAlignment="1">
      <alignment horizontal="center"/>
    </xf>
    <xf numFmtId="0" fontId="2" fillId="0" borderId="2" xfId="0" applyFont="1" applyBorder="1" applyAlignment="1">
      <alignment horizontal="left" vertical="center" wrapText="1"/>
    </xf>
    <xf numFmtId="0" fontId="2" fillId="0" borderId="17" xfId="0" applyFont="1"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3" fillId="3" borderId="5" xfId="0" applyFont="1" applyFill="1" applyBorder="1" applyAlignment="1">
      <alignment horizontal="center"/>
    </xf>
    <xf numFmtId="0" fontId="3" fillId="3" borderId="58" xfId="0" applyFont="1" applyFill="1" applyBorder="1" applyAlignment="1">
      <alignment horizontal="center"/>
    </xf>
    <xf numFmtId="0" fontId="3" fillId="3" borderId="8" xfId="0" applyFont="1" applyFill="1" applyBorder="1" applyAlignment="1">
      <alignment horizontal="center"/>
    </xf>
    <xf numFmtId="0" fontId="2" fillId="11" borderId="52" xfId="0" applyFont="1" applyFill="1" applyBorder="1" applyAlignment="1">
      <alignment vertical="center" wrapText="1"/>
    </xf>
    <xf numFmtId="0" fontId="2" fillId="11" borderId="45" xfId="0" applyFont="1" applyFill="1" applyBorder="1" applyAlignment="1">
      <alignment vertical="center" wrapText="1"/>
    </xf>
    <xf numFmtId="0" fontId="2" fillId="11" borderId="45" xfId="0" applyFont="1" applyFill="1" applyBorder="1" applyAlignment="1">
      <alignment horizontal="left" vertical="center" wrapText="1"/>
    </xf>
    <xf numFmtId="0" fontId="2" fillId="11" borderId="12" xfId="0" applyFont="1" applyFill="1" applyBorder="1" applyAlignment="1">
      <alignment horizontal="left" vertical="center" wrapText="1"/>
    </xf>
    <xf numFmtId="0" fontId="2" fillId="11" borderId="30" xfId="0" applyFont="1" applyFill="1" applyBorder="1" applyAlignment="1">
      <alignment vertical="center" wrapText="1"/>
    </xf>
    <xf numFmtId="0" fontId="2" fillId="11" borderId="33" xfId="0" applyFont="1" applyFill="1" applyBorder="1" applyAlignment="1">
      <alignment vertical="center" wrapText="1"/>
    </xf>
    <xf numFmtId="0" fontId="2" fillId="11" borderId="33"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2" fillId="11" borderId="23" xfId="0" applyFont="1" applyFill="1" applyBorder="1" applyAlignment="1">
      <alignment vertical="center" wrapText="1"/>
    </xf>
    <xf numFmtId="0" fontId="2" fillId="11" borderId="2"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50" xfId="0" applyFont="1" applyFill="1" applyBorder="1" applyAlignment="1">
      <alignment horizontal="center" vertical="center" wrapText="1"/>
    </xf>
    <xf numFmtId="0" fontId="2" fillId="11" borderId="56"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57" xfId="0" applyFont="1" applyFill="1" applyBorder="1" applyAlignment="1">
      <alignment vertical="center" wrapText="1"/>
    </xf>
    <xf numFmtId="0" fontId="2" fillId="11" borderId="49" xfId="0" applyFont="1" applyFill="1" applyBorder="1" applyAlignment="1">
      <alignment vertical="center" wrapText="1"/>
    </xf>
    <xf numFmtId="0" fontId="2" fillId="11" borderId="47" xfId="0" applyFont="1" applyFill="1" applyBorder="1" applyAlignment="1">
      <alignment vertical="center" wrapText="1"/>
    </xf>
    <xf numFmtId="0" fontId="2" fillId="11" borderId="48" xfId="0" applyFont="1" applyFill="1" applyBorder="1" applyAlignment="1">
      <alignment vertical="center" wrapText="1"/>
    </xf>
    <xf numFmtId="0" fontId="2" fillId="11" borderId="43" xfId="0" applyFont="1" applyFill="1" applyBorder="1" applyAlignment="1">
      <alignment vertical="center" wrapText="1"/>
    </xf>
    <xf numFmtId="0" fontId="2" fillId="11" borderId="2" xfId="0" applyFont="1" applyFill="1" applyBorder="1" applyAlignment="1">
      <alignment vertical="center" wrapText="1"/>
    </xf>
    <xf numFmtId="0" fontId="2" fillId="11" borderId="17" xfId="0" applyFont="1" applyFill="1" applyBorder="1" applyAlignment="1">
      <alignment vertical="center" wrapText="1"/>
    </xf>
    <xf numFmtId="0" fontId="2" fillId="11" borderId="50" xfId="0" applyFont="1" applyFill="1" applyBorder="1" applyAlignment="1">
      <alignment vertical="center" wrapText="1"/>
    </xf>
    <xf numFmtId="0" fontId="3" fillId="3" borderId="2" xfId="0" applyFont="1" applyFill="1" applyBorder="1" applyAlignment="1">
      <alignment horizontal="center"/>
    </xf>
    <xf numFmtId="0" fontId="3" fillId="3" borderId="17" xfId="0" applyFont="1" applyFill="1" applyBorder="1" applyAlignment="1">
      <alignment horizontal="center"/>
    </xf>
    <xf numFmtId="0" fontId="3" fillId="3" borderId="3" xfId="0" applyFont="1" applyFill="1" applyBorder="1" applyAlignment="1">
      <alignment horizontal="center"/>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0" borderId="56" xfId="0" applyFont="1" applyBorder="1" applyAlignment="1">
      <alignment horizontal="left" vertical="center" wrapText="1"/>
    </xf>
    <xf numFmtId="0" fontId="0" fillId="0" borderId="3" xfId="0" applyBorder="1" applyAlignment="1">
      <alignment horizontal="left" vertical="center" wrapText="1"/>
    </xf>
    <xf numFmtId="0" fontId="0" fillId="0" borderId="57" xfId="0" applyBorder="1" applyAlignment="1">
      <alignment horizontal="left" vertical="center" wrapText="1"/>
    </xf>
    <xf numFmtId="0" fontId="0" fillId="0" borderId="49" xfId="0"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center" vertical="center" wrapText="1"/>
    </xf>
    <xf numFmtId="0" fontId="0" fillId="0" borderId="24" xfId="0" applyBorder="1" applyAlignment="1">
      <alignment horizontal="center" vertical="center" wrapText="1"/>
    </xf>
    <xf numFmtId="0" fontId="2" fillId="0" borderId="1"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Border="1" applyAlignment="1">
      <alignment horizontal="left" vertical="center" wrapText="1"/>
    </xf>
    <xf numFmtId="0" fontId="0" fillId="0" borderId="46" xfId="0" applyBorder="1" applyAlignment="1">
      <alignment horizontal="left" vertical="center" wrapText="1"/>
    </xf>
    <xf numFmtId="14" fontId="2" fillId="0" borderId="48" xfId="0" applyNumberFormat="1" applyFont="1" applyBorder="1" applyAlignment="1">
      <alignment horizontal="center" vertical="center" wrapText="1"/>
    </xf>
    <xf numFmtId="0" fontId="0" fillId="0" borderId="47" xfId="0" applyBorder="1" applyAlignment="1">
      <alignment horizontal="center"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2" fillId="0" borderId="11" xfId="0" applyFont="1" applyBorder="1" applyAlignment="1">
      <alignment horizontal="left" vertical="center" wrapText="1"/>
    </xf>
    <xf numFmtId="0" fontId="0" fillId="0" borderId="45" xfId="0"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41" xfId="0" applyFont="1" applyBorder="1" applyAlignment="1">
      <alignment horizontal="left" vertical="center" wrapText="1"/>
    </xf>
    <xf numFmtId="0" fontId="3" fillId="3" borderId="56" xfId="0" applyFont="1" applyFill="1" applyBorder="1" applyAlignment="1">
      <alignment horizontal="center"/>
    </xf>
    <xf numFmtId="0" fontId="3" fillId="3" borderId="50" xfId="0" applyFont="1" applyFill="1" applyBorder="1" applyAlignment="1">
      <alignment horizontal="center"/>
    </xf>
    <xf numFmtId="14" fontId="0" fillId="0" borderId="48" xfId="0" applyNumberFormat="1" applyBorder="1" applyAlignment="1">
      <alignment horizontal="center" vertical="center" wrapText="1"/>
    </xf>
    <xf numFmtId="0" fontId="2" fillId="0" borderId="3" xfId="0" applyFont="1" applyBorder="1" applyAlignment="1">
      <alignment horizontal="left" vertical="center" wrapText="1"/>
    </xf>
    <xf numFmtId="0" fontId="4" fillId="3" borderId="56" xfId="0" applyFont="1" applyFill="1" applyBorder="1" applyAlignment="1">
      <alignment horizontal="center"/>
    </xf>
    <xf numFmtId="0" fontId="4" fillId="3" borderId="17" xfId="0" applyFont="1" applyFill="1" applyBorder="1" applyAlignment="1">
      <alignment horizontal="center"/>
    </xf>
    <xf numFmtId="0" fontId="4" fillId="3" borderId="3" xfId="0" applyFont="1" applyFill="1" applyBorder="1" applyAlignment="1">
      <alignment horizontal="center"/>
    </xf>
    <xf numFmtId="0" fontId="4" fillId="3" borderId="81" xfId="0" applyFont="1" applyFill="1" applyBorder="1" applyAlignment="1">
      <alignment horizontal="center"/>
    </xf>
    <xf numFmtId="0" fontId="3" fillId="3" borderId="9" xfId="0" applyFont="1" applyFill="1" applyBorder="1" applyAlignment="1">
      <alignment horizontal="center"/>
    </xf>
    <xf numFmtId="0" fontId="4" fillId="3" borderId="62" xfId="0" applyFont="1" applyFill="1" applyBorder="1" applyAlignment="1">
      <alignment horizontal="center"/>
    </xf>
    <xf numFmtId="0" fontId="3" fillId="3" borderId="53" xfId="0" applyFont="1" applyFill="1" applyBorder="1" applyAlignment="1">
      <alignment horizontal="center"/>
    </xf>
    <xf numFmtId="0" fontId="4" fillId="3" borderId="58" xfId="0" applyFont="1" applyFill="1" applyBorder="1" applyAlignment="1">
      <alignment horizontal="center"/>
    </xf>
    <xf numFmtId="0" fontId="4" fillId="3" borderId="8" xfId="0" applyFont="1" applyFill="1" applyBorder="1" applyAlignment="1">
      <alignment horizontal="center"/>
    </xf>
    <xf numFmtId="0" fontId="2" fillId="0" borderId="1" xfId="0" applyFont="1" applyBorder="1" applyAlignment="1">
      <alignment horizontal="left" vertical="center"/>
    </xf>
    <xf numFmtId="0" fontId="0" fillId="0" borderId="80" xfId="0" applyBorder="1" applyAlignment="1">
      <alignment horizontal="left" vertical="center"/>
    </xf>
    <xf numFmtId="14" fontId="2" fillId="0" borderId="56" xfId="0" applyNumberFormat="1" applyFont="1" applyBorder="1" applyAlignment="1">
      <alignment horizontal="center" vertical="center"/>
    </xf>
    <xf numFmtId="0" fontId="0" fillId="0" borderId="50" xfId="0" applyBorder="1" applyAlignment="1">
      <alignment horizontal="center" vertical="center"/>
    </xf>
    <xf numFmtId="0" fontId="2" fillId="0" borderId="76" xfId="0" applyFont="1" applyBorder="1" applyAlignment="1">
      <alignment horizontal="left" vertical="center" wrapText="1"/>
    </xf>
    <xf numFmtId="0" fontId="0" fillId="0" borderId="77" xfId="0" applyBorder="1" applyAlignment="1">
      <alignment horizontal="left" vertical="center" wrapText="1"/>
    </xf>
    <xf numFmtId="14" fontId="2" fillId="0" borderId="78" xfId="0" applyNumberFormat="1" applyFont="1" applyBorder="1" applyAlignment="1">
      <alignment horizontal="center" vertical="center" wrapText="1"/>
    </xf>
    <xf numFmtId="0" fontId="0" fillId="0" borderId="79" xfId="0" applyBorder="1" applyAlignment="1">
      <alignment horizontal="center" vertical="center" wrapText="1"/>
    </xf>
    <xf numFmtId="0" fontId="2" fillId="0" borderId="78" xfId="0" applyFont="1" applyBorder="1" applyAlignment="1">
      <alignment horizontal="left" vertical="center"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14" fontId="0" fillId="0" borderId="54" xfId="0" applyNumberFormat="1" applyBorder="1" applyAlignment="1">
      <alignment horizontal="center" vertical="center" wrapText="1"/>
    </xf>
    <xf numFmtId="0" fontId="0" fillId="0" borderId="52" xfId="0" applyBorder="1" applyAlignment="1">
      <alignment horizontal="center" vertical="center" wrapText="1"/>
    </xf>
    <xf numFmtId="0" fontId="5" fillId="0" borderId="55" xfId="0" applyFont="1" applyBorder="1" applyAlignment="1">
      <alignment horizontal="left" vertical="center" wrapText="1"/>
    </xf>
    <xf numFmtId="0" fontId="5" fillId="0" borderId="41" xfId="0" applyFont="1" applyBorder="1" applyAlignment="1">
      <alignment horizontal="left" vertical="center" wrapText="1"/>
    </xf>
    <xf numFmtId="0" fontId="5" fillId="0" borderId="54" xfId="0" applyFont="1" applyBorder="1" applyAlignment="1">
      <alignment horizontal="left" vertical="center" wrapText="1"/>
    </xf>
    <xf numFmtId="0" fontId="2" fillId="11" borderId="27" xfId="0"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11" borderId="30"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11" borderId="42" xfId="0" applyFont="1" applyFill="1" applyBorder="1" applyAlignment="1">
      <alignment horizontal="center" vertical="center" wrapText="1"/>
    </xf>
    <xf numFmtId="0" fontId="2" fillId="0" borderId="1" xfId="0" applyFont="1" applyBorder="1" applyAlignment="1">
      <alignment vertical="center"/>
    </xf>
    <xf numFmtId="0" fontId="0" fillId="0" borderId="80" xfId="0" applyBorder="1" applyAlignment="1">
      <alignment vertical="center"/>
    </xf>
    <xf numFmtId="0" fontId="2" fillId="0" borderId="80" xfId="0" applyFont="1" applyBorder="1" applyAlignment="1">
      <alignment horizontal="center" vertical="center"/>
    </xf>
    <xf numFmtId="0" fontId="0" fillId="0" borderId="80" xfId="0" applyBorder="1" applyAlignment="1">
      <alignment horizontal="center" vertical="center"/>
    </xf>
    <xf numFmtId="0" fontId="2" fillId="0" borderId="80" xfId="0" applyFont="1" applyBorder="1" applyAlignment="1">
      <alignment horizontal="center" vertical="center" wrapText="1"/>
    </xf>
    <xf numFmtId="0" fontId="0" fillId="0" borderId="80" xfId="0" applyBorder="1" applyAlignment="1">
      <alignment horizontal="center" vertical="center" wrapText="1"/>
    </xf>
    <xf numFmtId="0" fontId="2" fillId="0" borderId="56" xfId="0" applyFont="1"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0" borderId="76" xfId="0" applyBorder="1" applyAlignment="1">
      <alignment horizontal="left" vertical="center" wrapText="1"/>
    </xf>
    <xf numFmtId="14" fontId="0" fillId="0" borderId="78" xfId="0" applyNumberFormat="1" applyBorder="1" applyAlignment="1">
      <alignment horizontal="center"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78" xfId="0" applyBorder="1" applyAlignment="1">
      <alignment horizontal="left" vertical="center" wrapText="1"/>
    </xf>
    <xf numFmtId="0" fontId="0" fillId="0" borderId="44" xfId="0" applyBorder="1" applyAlignment="1">
      <alignment horizontal="left" vertical="center" wrapText="1"/>
    </xf>
    <xf numFmtId="0" fontId="0" fillId="0" borderId="21" xfId="0" applyBorder="1" applyAlignment="1">
      <alignment horizontal="left" vertical="center" wrapText="1"/>
    </xf>
    <xf numFmtId="0" fontId="0" fillId="0" borderId="56" xfId="0" applyFont="1" applyBorder="1" applyAlignment="1">
      <alignment horizontal="left" vertical="center" wrapText="1"/>
    </xf>
    <xf numFmtId="0" fontId="2" fillId="11" borderId="34" xfId="0" applyFont="1" applyFill="1" applyBorder="1" applyAlignment="1">
      <alignment horizontal="left" vertical="center" wrapText="1"/>
    </xf>
    <xf numFmtId="0" fontId="2" fillId="11" borderId="51" xfId="0" applyFont="1" applyFill="1" applyBorder="1" applyAlignment="1">
      <alignment horizontal="left" vertical="center" wrapText="1"/>
    </xf>
    <xf numFmtId="0" fontId="2" fillId="11" borderId="42" xfId="0" applyFont="1" applyFill="1" applyBorder="1" applyAlignment="1">
      <alignment horizontal="left" vertical="center" wrapText="1"/>
    </xf>
    <xf numFmtId="0" fontId="2" fillId="11" borderId="27" xfId="0" applyFont="1" applyFill="1" applyBorder="1" applyAlignment="1">
      <alignment horizontal="left" vertical="center" wrapText="1"/>
    </xf>
    <xf numFmtId="0" fontId="2" fillId="11" borderId="30"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17" xfId="0" applyFont="1" applyFill="1" applyBorder="1" applyAlignment="1">
      <alignment horizontal="left" vertical="center" wrapText="1"/>
    </xf>
    <xf numFmtId="0" fontId="2" fillId="11" borderId="50"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50" xfId="0" applyFont="1" applyBorder="1" applyAlignment="1">
      <alignment horizontal="left" vertical="center" wrapText="1"/>
    </xf>
    <xf numFmtId="14" fontId="2" fillId="0" borderId="56" xfId="0" applyNumberFormat="1" applyFont="1" applyBorder="1" applyAlignment="1">
      <alignment horizontal="center" vertical="center" wrapText="1"/>
    </xf>
    <xf numFmtId="14" fontId="0" fillId="0" borderId="50" xfId="0" applyNumberFormat="1" applyBorder="1" applyAlignment="1">
      <alignment horizontal="center" vertical="center" wrapText="1"/>
    </xf>
    <xf numFmtId="0" fontId="5" fillId="0" borderId="3" xfId="0" applyFont="1" applyBorder="1" applyAlignment="1">
      <alignment horizontal="left"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49" fontId="2" fillId="0" borderId="56" xfId="0" applyNumberFormat="1" applyFont="1" applyBorder="1" applyAlignment="1">
      <alignment horizontal="center" vertical="center"/>
    </xf>
    <xf numFmtId="49" fontId="0" fillId="0" borderId="50" xfId="0" applyNumberFormat="1" applyBorder="1" applyAlignment="1">
      <alignment horizontal="center" vertical="center"/>
    </xf>
    <xf numFmtId="49" fontId="2" fillId="0" borderId="78" xfId="0" applyNumberFormat="1" applyFont="1" applyBorder="1" applyAlignment="1">
      <alignment horizontal="center" vertical="center" wrapText="1"/>
    </xf>
    <xf numFmtId="49" fontId="0" fillId="0" borderId="79" xfId="0" applyNumberFormat="1" applyBorder="1" applyAlignment="1">
      <alignment horizontal="center" vertical="center" wrapText="1"/>
    </xf>
    <xf numFmtId="49" fontId="2" fillId="0" borderId="48" xfId="0" applyNumberFormat="1" applyFont="1" applyBorder="1" applyAlignment="1">
      <alignment horizontal="center" vertical="center" wrapText="1"/>
    </xf>
    <xf numFmtId="49" fontId="0" fillId="0" borderId="47" xfId="0" applyNumberFormat="1" applyBorder="1" applyAlignment="1">
      <alignment horizontal="center" vertical="center" wrapText="1"/>
    </xf>
    <xf numFmtId="14" fontId="2" fillId="0" borderId="50"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4" xfId="0" applyFont="1" applyBorder="1" applyAlignment="1">
      <alignment horizontal="center" vertical="center"/>
    </xf>
    <xf numFmtId="0" fontId="0" fillId="0" borderId="46" xfId="0" applyBorder="1" applyAlignment="1">
      <alignment horizontal="center" vertical="center"/>
    </xf>
    <xf numFmtId="14" fontId="0" fillId="0" borderId="46" xfId="0" applyNumberFormat="1" applyBorder="1" applyAlignment="1">
      <alignment horizontal="center" vertical="center"/>
    </xf>
    <xf numFmtId="0" fontId="0" fillId="0" borderId="24" xfId="0" applyBorder="1" applyAlignment="1">
      <alignment horizontal="center" vertical="center"/>
    </xf>
    <xf numFmtId="0" fontId="2" fillId="0" borderId="13" xfId="0" applyFont="1" applyBorder="1" applyAlignment="1">
      <alignment horizontal="center" vertical="center"/>
    </xf>
    <xf numFmtId="0" fontId="0" fillId="0" borderId="33" xfId="0" applyBorder="1" applyAlignment="1">
      <alignment horizontal="center" vertical="center"/>
    </xf>
    <xf numFmtId="14"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2" xfId="0" applyBorder="1" applyAlignment="1">
      <alignment horizontal="center" vertical="center" wrapText="1"/>
    </xf>
    <xf numFmtId="15" fontId="0" fillId="0" borderId="34" xfId="0" applyNumberFormat="1" applyBorder="1" applyAlignment="1">
      <alignment horizontal="center"/>
    </xf>
    <xf numFmtId="0" fontId="0" fillId="0" borderId="30" xfId="0" applyBorder="1" applyAlignment="1">
      <alignment horizontal="center"/>
    </xf>
    <xf numFmtId="0" fontId="2" fillId="0" borderId="33" xfId="0" applyFont="1" applyBorder="1" applyAlignment="1">
      <alignment horizontal="center" vertical="center"/>
    </xf>
    <xf numFmtId="0" fontId="0" fillId="0" borderId="23" xfId="0" applyBorder="1" applyAlignment="1">
      <alignment horizontal="center" vertical="center"/>
    </xf>
    <xf numFmtId="0" fontId="2" fillId="0" borderId="2" xfId="0" quotePrefix="1" applyFont="1" applyBorder="1" applyAlignment="1">
      <alignment horizontal="center" vertical="center" wrapText="1"/>
    </xf>
    <xf numFmtId="0" fontId="0" fillId="0" borderId="50" xfId="0" applyBorder="1" applyAlignment="1">
      <alignment horizontal="center" vertical="center" wrapText="1"/>
    </xf>
    <xf numFmtId="15" fontId="2" fillId="0" borderId="34" xfId="0" applyNumberFormat="1" applyFont="1" applyBorder="1" applyAlignment="1">
      <alignment horizontal="center"/>
    </xf>
  </cellXfs>
  <cellStyles count="143">
    <cellStyle name="Currency 2" xfId="13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40" builtinId="8" hidden="1"/>
    <cellStyle name="Normal" xfId="0" builtinId="0"/>
    <cellStyle name="Normal 2" xfId="2"/>
    <cellStyle name="Normal 3" xfId="142"/>
    <cellStyle name="Normal_Tier-1 Quarterly Repor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8"/>
  <sheetViews>
    <sheetView tabSelected="1" zoomScale="90" zoomScaleNormal="90" zoomScalePageLayoutView="90" workbookViewId="0">
      <pane xSplit="6" ySplit="8" topLeftCell="R27" activePane="bottomRight" state="frozen"/>
      <selection pane="topRight" activeCell="G1" sqref="G1"/>
      <selection pane="bottomLeft" activeCell="A9" sqref="A9"/>
      <selection pane="bottomRight" activeCell="R30" sqref="R30"/>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bestFit="1" customWidth="1"/>
    <col min="7" max="12" width="14.140625" style="27" customWidth="1"/>
    <col min="13" max="18" width="36.85546875" customWidth="1"/>
  </cols>
  <sheetData>
    <row r="1" spans="1:18" ht="13.5" thickBot="1" x14ac:dyDescent="0.25"/>
    <row r="2" spans="1:18" x14ac:dyDescent="0.2">
      <c r="A2" s="2" t="s">
        <v>24</v>
      </c>
      <c r="B2" s="3"/>
      <c r="C2" s="28"/>
      <c r="D2" s="24"/>
      <c r="E2" s="46" t="s">
        <v>31</v>
      </c>
      <c r="G2" s="125"/>
      <c r="H2" s="125"/>
      <c r="I2" s="125"/>
      <c r="J2" s="125"/>
      <c r="K2" s="125"/>
      <c r="L2" s="125"/>
    </row>
    <row r="3" spans="1:18" x14ac:dyDescent="0.2">
      <c r="A3" s="4" t="s">
        <v>28</v>
      </c>
      <c r="B3" s="19" t="s">
        <v>51</v>
      </c>
      <c r="C3" s="28"/>
      <c r="D3" s="23"/>
      <c r="E3" s="47" t="s">
        <v>46</v>
      </c>
      <c r="G3" s="125"/>
      <c r="H3" s="125"/>
      <c r="I3" s="125"/>
      <c r="J3" s="125"/>
      <c r="K3" s="125"/>
      <c r="L3" s="125"/>
    </row>
    <row r="4" spans="1:18" x14ac:dyDescent="0.2">
      <c r="A4" s="4" t="s">
        <v>25</v>
      </c>
      <c r="B4" s="64" t="s">
        <v>426</v>
      </c>
      <c r="C4" s="28"/>
      <c r="D4" s="25"/>
      <c r="E4" s="47" t="s">
        <v>32</v>
      </c>
      <c r="F4" s="31"/>
      <c r="G4" s="125"/>
      <c r="H4" s="125"/>
      <c r="I4" s="125"/>
      <c r="J4" s="125"/>
      <c r="K4" s="125"/>
      <c r="L4" s="125"/>
    </row>
    <row r="5" spans="1:18" ht="26.25" thickBot="1" x14ac:dyDescent="0.25">
      <c r="A5" s="5" t="s">
        <v>29</v>
      </c>
      <c r="B5" s="20" t="s">
        <v>2</v>
      </c>
      <c r="C5" s="28"/>
      <c r="D5" s="26"/>
      <c r="E5" s="47" t="s">
        <v>44</v>
      </c>
      <c r="G5" s="125"/>
      <c r="H5" s="125"/>
      <c r="I5" s="125"/>
      <c r="J5" s="125"/>
      <c r="K5" s="125"/>
      <c r="L5" s="125"/>
    </row>
    <row r="6" spans="1:18" ht="13.5" thickBot="1" x14ac:dyDescent="0.25">
      <c r="A6" s="36"/>
      <c r="B6" s="30"/>
      <c r="D6" s="16"/>
      <c r="E6" s="48" t="s">
        <v>34</v>
      </c>
      <c r="G6" s="125"/>
      <c r="H6" s="125"/>
      <c r="I6" s="125"/>
      <c r="J6" s="125"/>
      <c r="K6" s="125"/>
      <c r="L6" s="125"/>
    </row>
    <row r="7" spans="1:18" ht="13.5" thickBot="1" x14ac:dyDescent="0.25"/>
    <row r="8" spans="1:18" ht="21" customHeight="1" thickBot="1" x14ac:dyDescent="0.25">
      <c r="A8" s="7" t="s">
        <v>61</v>
      </c>
      <c r="B8" s="7" t="s">
        <v>60</v>
      </c>
      <c r="C8" s="7" t="s">
        <v>27</v>
      </c>
      <c r="D8" s="8" t="s">
        <v>47</v>
      </c>
      <c r="E8" s="7" t="s">
        <v>26</v>
      </c>
      <c r="F8" s="7" t="s">
        <v>30</v>
      </c>
      <c r="G8" s="174" t="s">
        <v>225</v>
      </c>
      <c r="H8" s="174" t="s">
        <v>289</v>
      </c>
      <c r="I8" s="174" t="s">
        <v>323</v>
      </c>
      <c r="J8" s="174" t="s">
        <v>353</v>
      </c>
      <c r="K8" s="174" t="s">
        <v>389</v>
      </c>
      <c r="L8" s="174" t="s">
        <v>426</v>
      </c>
      <c r="M8" s="152" t="s">
        <v>226</v>
      </c>
      <c r="N8" s="152" t="s">
        <v>290</v>
      </c>
      <c r="O8" s="152" t="s">
        <v>324</v>
      </c>
      <c r="P8" s="152" t="s">
        <v>354</v>
      </c>
      <c r="Q8" s="152" t="s">
        <v>390</v>
      </c>
      <c r="R8" s="152" t="s">
        <v>427</v>
      </c>
    </row>
    <row r="9" spans="1:18" ht="25.5" x14ac:dyDescent="0.2">
      <c r="A9" s="65" t="s">
        <v>153</v>
      </c>
      <c r="B9" s="65" t="s">
        <v>190</v>
      </c>
      <c r="C9" s="74" t="s">
        <v>73</v>
      </c>
      <c r="D9" s="121"/>
      <c r="E9" s="153" t="s">
        <v>133</v>
      </c>
      <c r="F9" s="40">
        <v>1</v>
      </c>
      <c r="G9" s="80">
        <f>(1.43+1.43+1.42)/3</f>
        <v>1.4266666666666665</v>
      </c>
      <c r="H9" s="80"/>
      <c r="I9" s="80">
        <f>(1.04+1.04+1.13)/3</f>
        <v>1.07</v>
      </c>
      <c r="J9" s="80">
        <f>(1.13+1.13+0.96)/3</f>
        <v>1.0733333333333333</v>
      </c>
      <c r="K9" s="80">
        <f>(0.96+0.96+0.96)/3</f>
        <v>0.96</v>
      </c>
      <c r="L9" s="80">
        <f>(0.83+0.83+1.08)/3</f>
        <v>0.91333333333333344</v>
      </c>
      <c r="M9" s="132"/>
      <c r="N9" s="132"/>
      <c r="O9" s="132"/>
      <c r="P9" s="132"/>
      <c r="Q9" s="132"/>
      <c r="R9" s="132"/>
    </row>
    <row r="10" spans="1:18" ht="25.5" x14ac:dyDescent="0.2">
      <c r="A10" s="65" t="s">
        <v>154</v>
      </c>
      <c r="B10" s="65" t="s">
        <v>227</v>
      </c>
      <c r="C10" s="73" t="s">
        <v>98</v>
      </c>
      <c r="D10" s="121"/>
      <c r="E10" s="153" t="s">
        <v>133</v>
      </c>
      <c r="F10" s="40">
        <v>1</v>
      </c>
      <c r="G10" s="80">
        <f>(1.45+1.42+1.46)/3</f>
        <v>1.4433333333333334</v>
      </c>
      <c r="H10" s="80">
        <f>(1.06+1.05+1.09)/3</f>
        <v>1.0666666666666667</v>
      </c>
      <c r="I10" s="80">
        <f>(1.02+1.04+1.1)/3</f>
        <v>1.0533333333333335</v>
      </c>
      <c r="J10" s="80">
        <f>(1.09+0.96+0.98)/3</f>
        <v>1.01</v>
      </c>
      <c r="K10" s="80">
        <f>(0.97+0.99+0.98)/3</f>
        <v>0.98</v>
      </c>
      <c r="L10" s="80">
        <f>(0.85+0.87+0.87)/3</f>
        <v>0.86333333333333329</v>
      </c>
      <c r="M10" s="132"/>
      <c r="N10" s="132"/>
      <c r="O10" s="132"/>
      <c r="P10" s="132"/>
      <c r="Q10" s="132"/>
      <c r="R10" s="132"/>
    </row>
    <row r="11" spans="1:18" ht="25.5" x14ac:dyDescent="0.2">
      <c r="A11" s="65" t="s">
        <v>155</v>
      </c>
      <c r="B11" s="37"/>
      <c r="C11" s="73" t="s">
        <v>74</v>
      </c>
      <c r="D11" s="121"/>
      <c r="E11" s="153" t="s">
        <v>54</v>
      </c>
      <c r="F11" s="40">
        <v>0.99</v>
      </c>
      <c r="G11" s="176"/>
      <c r="H11" s="176"/>
      <c r="I11" s="176"/>
      <c r="J11" s="176"/>
      <c r="K11" s="176"/>
      <c r="L11" s="176"/>
      <c r="M11" s="175"/>
      <c r="N11" s="175"/>
      <c r="O11" s="175"/>
      <c r="P11" s="175"/>
      <c r="Q11" s="175"/>
      <c r="R11" s="175"/>
    </row>
    <row r="12" spans="1:18" ht="25.5" x14ac:dyDescent="0.2">
      <c r="A12" s="65" t="s">
        <v>156</v>
      </c>
      <c r="B12" s="37"/>
      <c r="C12" s="73" t="s">
        <v>75</v>
      </c>
      <c r="D12" s="121"/>
      <c r="E12" s="153" t="s">
        <v>2</v>
      </c>
      <c r="F12" s="81">
        <v>2</v>
      </c>
      <c r="G12" s="139">
        <v>0</v>
      </c>
      <c r="H12" s="139">
        <v>0</v>
      </c>
      <c r="I12" s="139">
        <v>0</v>
      </c>
      <c r="J12" s="139">
        <v>0</v>
      </c>
      <c r="K12" s="139">
        <v>0</v>
      </c>
      <c r="L12" s="139">
        <v>0</v>
      </c>
      <c r="M12" s="134"/>
      <c r="N12" s="134"/>
      <c r="O12" s="134"/>
      <c r="P12" s="134"/>
      <c r="Q12" s="134"/>
      <c r="R12" s="134"/>
    </row>
    <row r="13" spans="1:18" ht="51" x14ac:dyDescent="0.2">
      <c r="A13" s="65" t="s">
        <v>157</v>
      </c>
      <c r="B13" s="37"/>
      <c r="C13" s="73" t="s">
        <v>76</v>
      </c>
      <c r="D13" s="121"/>
      <c r="E13" s="38"/>
      <c r="F13" s="81">
        <v>0</v>
      </c>
      <c r="G13" s="200">
        <v>1</v>
      </c>
      <c r="H13" s="139">
        <v>0</v>
      </c>
      <c r="I13" s="139">
        <v>0</v>
      </c>
      <c r="J13" s="139">
        <v>0</v>
      </c>
      <c r="K13" s="139">
        <v>0</v>
      </c>
      <c r="L13" s="139">
        <v>0</v>
      </c>
      <c r="M13" s="133" t="s">
        <v>274</v>
      </c>
      <c r="N13" s="133"/>
      <c r="O13" s="133"/>
      <c r="P13" s="133"/>
      <c r="Q13" s="133"/>
      <c r="R13" s="133"/>
    </row>
    <row r="14" spans="1:18" ht="51" x14ac:dyDescent="0.2">
      <c r="A14" s="65" t="s">
        <v>158</v>
      </c>
      <c r="B14" s="43"/>
      <c r="C14" s="73" t="s">
        <v>77</v>
      </c>
      <c r="D14" s="122"/>
      <c r="E14" s="44" t="s">
        <v>52</v>
      </c>
      <c r="F14" s="81">
        <v>0</v>
      </c>
      <c r="G14" s="139">
        <v>0</v>
      </c>
      <c r="H14" s="139">
        <v>0</v>
      </c>
      <c r="I14" s="139">
        <v>0</v>
      </c>
      <c r="J14" s="139">
        <v>0</v>
      </c>
      <c r="K14" s="139">
        <v>0</v>
      </c>
      <c r="L14" s="139">
        <v>0</v>
      </c>
      <c r="M14" s="133"/>
      <c r="N14" s="133"/>
      <c r="O14" s="133"/>
      <c r="P14" s="133"/>
      <c r="Q14" s="133"/>
      <c r="R14" s="133"/>
    </row>
    <row r="15" spans="1:18" ht="48.75" customHeight="1" x14ac:dyDescent="0.2">
      <c r="A15" s="65" t="s">
        <v>159</v>
      </c>
      <c r="B15" s="42"/>
      <c r="C15" s="73" t="s">
        <v>78</v>
      </c>
      <c r="D15" s="61"/>
      <c r="E15" s="153" t="s">
        <v>52</v>
      </c>
      <c r="F15" s="40">
        <v>0.93</v>
      </c>
      <c r="G15" s="201">
        <v>0.9</v>
      </c>
      <c r="H15" s="239">
        <v>0.86</v>
      </c>
      <c r="I15" s="239">
        <v>0.83</v>
      </c>
      <c r="J15" s="239">
        <v>0.87</v>
      </c>
      <c r="K15" s="239">
        <v>0.8</v>
      </c>
      <c r="L15" s="253">
        <v>0.95</v>
      </c>
      <c r="M15" s="134"/>
      <c r="N15" s="134"/>
      <c r="O15" s="134"/>
      <c r="P15" s="134"/>
      <c r="Q15" s="134"/>
      <c r="R15" s="134"/>
    </row>
    <row r="16" spans="1:18" x14ac:dyDescent="0.2">
      <c r="A16" s="66"/>
      <c r="B16" s="67"/>
      <c r="C16" s="34"/>
      <c r="D16" s="68"/>
      <c r="E16" s="39"/>
      <c r="F16" s="40"/>
      <c r="G16" s="45"/>
      <c r="H16" s="45"/>
      <c r="I16" s="45"/>
      <c r="J16" s="45"/>
      <c r="K16" s="45"/>
      <c r="L16" s="243"/>
      <c r="M16" s="133"/>
      <c r="N16" s="133"/>
      <c r="O16" s="133"/>
      <c r="P16" s="133"/>
      <c r="Q16" s="133"/>
      <c r="R16" s="133"/>
    </row>
    <row r="17" spans="1:18" ht="25.5" x14ac:dyDescent="0.2">
      <c r="A17" s="65" t="s">
        <v>184</v>
      </c>
      <c r="B17" s="195" t="s">
        <v>191</v>
      </c>
      <c r="C17" s="75" t="s">
        <v>79</v>
      </c>
      <c r="D17" s="123"/>
      <c r="E17" s="242" t="s">
        <v>392</v>
      </c>
      <c r="F17" s="40">
        <v>1</v>
      </c>
      <c r="G17" s="151">
        <f>(2.02+2.02+2.04)/3</f>
        <v>2.0266666666666668</v>
      </c>
      <c r="H17" s="151"/>
      <c r="I17" s="151">
        <f>(1.4+1.4+1.4)/3</f>
        <v>1.3999999999999997</v>
      </c>
      <c r="J17" s="151">
        <f>(1.4+1.58+1.58)/3</f>
        <v>1.5200000000000002</v>
      </c>
      <c r="K17" s="151">
        <f>(1.58+1.58+1.58)/3</f>
        <v>1.58</v>
      </c>
      <c r="L17" s="244">
        <f>(1.55+1.55+1.55)/3</f>
        <v>1.55</v>
      </c>
      <c r="M17" s="133"/>
      <c r="N17" s="133"/>
      <c r="O17" s="133"/>
      <c r="P17" s="133"/>
      <c r="Q17" s="133"/>
      <c r="R17" s="133"/>
    </row>
    <row r="18" spans="1:18" ht="76.5" x14ac:dyDescent="0.2">
      <c r="A18" s="65" t="s">
        <v>185</v>
      </c>
      <c r="B18" s="195" t="s">
        <v>192</v>
      </c>
      <c r="C18" s="76" t="s">
        <v>80</v>
      </c>
      <c r="D18" s="124"/>
      <c r="E18" s="242" t="s">
        <v>392</v>
      </c>
      <c r="F18" s="40">
        <v>1</v>
      </c>
      <c r="G18" s="62">
        <f t="shared" ref="G18:H18" si="0">(1+1+1)/3</f>
        <v>1</v>
      </c>
      <c r="H18" s="62">
        <f t="shared" si="0"/>
        <v>1</v>
      </c>
      <c r="I18" s="62">
        <f>(1+1+1)/3</f>
        <v>1</v>
      </c>
      <c r="J18" s="62">
        <f>(1+1+1)/3</f>
        <v>1</v>
      </c>
      <c r="K18" s="62">
        <f>(1+1+1)/3</f>
        <v>1</v>
      </c>
      <c r="L18" s="250">
        <f>(0.95+0.95+0.95)/3</f>
        <v>0.94999999999999984</v>
      </c>
      <c r="M18" s="135"/>
      <c r="N18" s="135"/>
      <c r="O18" s="135"/>
      <c r="P18" s="135"/>
      <c r="Q18" s="135"/>
      <c r="R18" s="135" t="s">
        <v>446</v>
      </c>
    </row>
    <row r="19" spans="1:18" ht="25.5" x14ac:dyDescent="0.2">
      <c r="A19" s="65" t="s">
        <v>186</v>
      </c>
      <c r="B19" s="195" t="s">
        <v>228</v>
      </c>
      <c r="C19" s="76" t="s">
        <v>97</v>
      </c>
      <c r="D19" s="124"/>
      <c r="E19" s="242" t="s">
        <v>392</v>
      </c>
      <c r="F19" s="40">
        <v>1</v>
      </c>
      <c r="G19" s="62">
        <f>(1+1.12+1)/3</f>
        <v>1.04</v>
      </c>
      <c r="H19" s="62">
        <f>(1+1+1)/3</f>
        <v>1</v>
      </c>
      <c r="I19" s="62">
        <f>(1+1+1)/3</f>
        <v>1</v>
      </c>
      <c r="J19" s="62">
        <f>(0.98+0.98+0.98)/3</f>
        <v>0.98</v>
      </c>
      <c r="K19" s="62">
        <f>(1+1+1)/3</f>
        <v>1</v>
      </c>
      <c r="L19" s="250">
        <f>(0.84+0.84+0.84)/3</f>
        <v>0.84</v>
      </c>
      <c r="M19" s="134"/>
      <c r="N19" s="134"/>
      <c r="O19" s="134"/>
      <c r="P19" s="134"/>
      <c r="Q19" s="134"/>
      <c r="R19" s="134" t="s">
        <v>447</v>
      </c>
    </row>
    <row r="20" spans="1:18" ht="25.5" x14ac:dyDescent="0.2">
      <c r="A20" s="65" t="s">
        <v>187</v>
      </c>
      <c r="B20" s="195" t="s">
        <v>229</v>
      </c>
      <c r="C20" s="76" t="s">
        <v>99</v>
      </c>
      <c r="D20" s="124"/>
      <c r="E20" s="242" t="s">
        <v>392</v>
      </c>
      <c r="F20" s="40">
        <v>1</v>
      </c>
      <c r="G20" s="79">
        <f>(1.09+1.09+1.23)/3</f>
        <v>1.1366666666666667</v>
      </c>
      <c r="H20" s="79"/>
      <c r="I20" s="79">
        <f>(1.15+1.15+1.15)/3</f>
        <v>1.1499999999999999</v>
      </c>
      <c r="J20" s="79">
        <f>(1.16+1.14+1.15)/3</f>
        <v>1.1499999999999999</v>
      </c>
      <c r="K20" s="79">
        <f>(1.14+1.13+1.1)/3</f>
        <v>1.1233333333333333</v>
      </c>
      <c r="L20" s="250">
        <f>(0.97+0.97+0.95)/3</f>
        <v>0.96333333333333326</v>
      </c>
      <c r="M20" s="134"/>
      <c r="N20" s="134"/>
      <c r="O20" s="134"/>
      <c r="P20" s="134"/>
      <c r="Q20" s="134"/>
      <c r="R20" s="134" t="s">
        <v>448</v>
      </c>
    </row>
    <row r="21" spans="1:18" ht="38.25" x14ac:dyDescent="0.2">
      <c r="A21" s="65" t="s">
        <v>188</v>
      </c>
      <c r="B21" s="195" t="s">
        <v>244</v>
      </c>
      <c r="C21" s="76" t="s">
        <v>81</v>
      </c>
      <c r="D21" s="124"/>
      <c r="E21" s="153" t="s">
        <v>135</v>
      </c>
      <c r="F21" s="41">
        <v>2</v>
      </c>
      <c r="G21" s="140">
        <f>(0+0+0)/3</f>
        <v>0</v>
      </c>
      <c r="H21" s="140">
        <f>(0+0+0)/3</f>
        <v>0</v>
      </c>
      <c r="I21" s="140">
        <f>(0+0+1)/3</f>
        <v>0.33333333333333331</v>
      </c>
      <c r="J21" s="140">
        <f>(1+0+0)/3</f>
        <v>0.33333333333333331</v>
      </c>
      <c r="K21" s="140">
        <f>(1+0+0)/3</f>
        <v>0.33333333333333331</v>
      </c>
      <c r="L21" s="251">
        <f>(1+0+0)/3</f>
        <v>0.33333333333333331</v>
      </c>
      <c r="M21" s="136"/>
      <c r="N21" s="136"/>
      <c r="O21" s="136"/>
      <c r="P21" s="136"/>
      <c r="Q21" s="136"/>
      <c r="R21" s="136"/>
    </row>
    <row r="22" spans="1:18" ht="39.950000000000003" customHeight="1" x14ac:dyDescent="0.2">
      <c r="A22" s="65" t="s">
        <v>189</v>
      </c>
      <c r="B22" s="195" t="s">
        <v>245</v>
      </c>
      <c r="C22" s="76" t="s">
        <v>428</v>
      </c>
      <c r="D22" s="124"/>
      <c r="E22" s="153" t="s">
        <v>135</v>
      </c>
      <c r="F22" s="40">
        <v>0.01</v>
      </c>
      <c r="G22" s="141">
        <f>(0.0032+0.0032+0.0023)/3</f>
        <v>2.8999999999999998E-3</v>
      </c>
      <c r="H22" s="141">
        <f>(0.0035+0.0032+0.0023)/3</f>
        <v>3.0000000000000005E-3</v>
      </c>
      <c r="I22" s="141">
        <f>(0.0003+0.0015+0.0028)/3</f>
        <v>1.5333333333333334E-3</v>
      </c>
      <c r="J22" s="141">
        <f>(0.0037+0.0026+0.0014)/3</f>
        <v>2.5666666666666667E-3</v>
      </c>
      <c r="K22" s="141">
        <f>(0.0104+0.0007+0.0002)/3</f>
        <v>3.7666666666666664E-3</v>
      </c>
      <c r="L22" s="252">
        <f>(0.0012+0.0014+0.0052)/3</f>
        <v>2.5999999999999999E-3</v>
      </c>
      <c r="M22" s="133"/>
      <c r="N22" s="133"/>
      <c r="O22" s="133"/>
      <c r="P22" s="133"/>
      <c r="Q22" s="133"/>
      <c r="R22" s="133"/>
    </row>
    <row r="23" spans="1:18" ht="25.5" x14ac:dyDescent="0.2">
      <c r="A23" s="65" t="s">
        <v>190</v>
      </c>
      <c r="B23" s="195" t="s">
        <v>230</v>
      </c>
      <c r="C23" s="76" t="s">
        <v>100</v>
      </c>
      <c r="D23" s="124"/>
      <c r="E23" s="153" t="s">
        <v>53</v>
      </c>
      <c r="F23" s="81">
        <v>1</v>
      </c>
      <c r="G23" s="177">
        <f>(0+0+0)/3</f>
        <v>0</v>
      </c>
      <c r="H23" s="177">
        <f>(0+0+0)/3</f>
        <v>0</v>
      </c>
      <c r="I23" s="177">
        <f>(0+1+0)/3</f>
        <v>0.33333333333333331</v>
      </c>
      <c r="J23" s="177">
        <f>(0+0+0)/3</f>
        <v>0</v>
      </c>
      <c r="K23" s="177">
        <f>(0+0+0)/3</f>
        <v>0</v>
      </c>
      <c r="L23" s="245">
        <f>(0+0+0)/3</f>
        <v>0</v>
      </c>
      <c r="M23" s="137"/>
      <c r="N23" s="137"/>
      <c r="O23" s="137"/>
      <c r="P23" s="137"/>
      <c r="Q23" s="137"/>
      <c r="R23" s="137"/>
    </row>
    <row r="24" spans="1:18" s="30" customFormat="1" ht="127.5" x14ac:dyDescent="0.2">
      <c r="A24" s="65" t="s">
        <v>191</v>
      </c>
      <c r="B24" s="196" t="s">
        <v>232</v>
      </c>
      <c r="C24" s="76" t="s">
        <v>82</v>
      </c>
      <c r="D24" s="124" t="s">
        <v>110</v>
      </c>
      <c r="E24" s="153" t="s">
        <v>134</v>
      </c>
      <c r="F24" s="40">
        <v>0.99</v>
      </c>
      <c r="G24" s="199">
        <f>(0.98+0.84+0.95)/3</f>
        <v>0.92333333333333323</v>
      </c>
      <c r="H24" s="199">
        <f>(0.89+0.9+0.98)/3</f>
        <v>0.92333333333333334</v>
      </c>
      <c r="I24" s="229">
        <f>(0.95+0.99+1)/3</f>
        <v>0.98</v>
      </c>
      <c r="J24" s="178">
        <f>(1+0.99+0.99)/3</f>
        <v>0.99333333333333329</v>
      </c>
      <c r="K24" s="241">
        <f>(0.92+1+0.99)/3</f>
        <v>0.97000000000000008</v>
      </c>
      <c r="L24" s="178">
        <f>(0.99+0.99+1)/3</f>
        <v>0.99333333333333329</v>
      </c>
      <c r="M24" s="84" t="s">
        <v>282</v>
      </c>
      <c r="N24" s="138" t="s">
        <v>295</v>
      </c>
      <c r="O24" s="138" t="s">
        <v>340</v>
      </c>
      <c r="P24" s="138"/>
      <c r="Q24" s="138" t="s">
        <v>391</v>
      </c>
      <c r="R24" s="138"/>
    </row>
    <row r="25" spans="1:18" ht="38.25" x14ac:dyDescent="0.2">
      <c r="A25" s="65" t="s">
        <v>192</v>
      </c>
      <c r="B25" s="196" t="s">
        <v>231</v>
      </c>
      <c r="C25" s="76" t="s">
        <v>83</v>
      </c>
      <c r="D25" s="124" t="s">
        <v>110</v>
      </c>
      <c r="E25" s="153" t="s">
        <v>134</v>
      </c>
      <c r="F25" s="40">
        <v>0.99</v>
      </c>
      <c r="G25" s="119">
        <f>(0.87+1+1)/3</f>
        <v>0.95666666666666667</v>
      </c>
      <c r="H25" s="62">
        <f>(1+1+1)/3</f>
        <v>1</v>
      </c>
      <c r="I25" s="62">
        <f>(1+1+1)/3</f>
        <v>1</v>
      </c>
      <c r="J25" s="62">
        <f>(1+1+1)/3</f>
        <v>1</v>
      </c>
      <c r="K25" s="62">
        <f>(1+0.99+1)/3</f>
        <v>0.9966666666666667</v>
      </c>
      <c r="L25" s="62">
        <f>(1+0.99+1)/3</f>
        <v>0.9966666666666667</v>
      </c>
      <c r="M25" s="84" t="s">
        <v>275</v>
      </c>
      <c r="N25" s="84"/>
      <c r="O25" s="84"/>
      <c r="P25" s="84"/>
      <c r="Q25" s="84"/>
      <c r="R25" s="84"/>
    </row>
    <row r="26" spans="1:18" ht="158.25" customHeight="1" x14ac:dyDescent="0.2">
      <c r="A26" s="65" t="s">
        <v>193</v>
      </c>
      <c r="B26" s="196" t="s">
        <v>233</v>
      </c>
      <c r="C26" s="76" t="s">
        <v>84</v>
      </c>
      <c r="D26" s="124" t="s">
        <v>110</v>
      </c>
      <c r="E26" s="153" t="s">
        <v>134</v>
      </c>
      <c r="F26" s="40">
        <v>0.99</v>
      </c>
      <c r="G26" s="179">
        <f>(1+0.97+0.96)/3</f>
        <v>0.97666666666666657</v>
      </c>
      <c r="H26" s="119">
        <f>(0.9+0.84+0.95)/3</f>
        <v>0.89666666666666661</v>
      </c>
      <c r="I26" s="119">
        <f>(0.91+0.95+0.96)/3</f>
        <v>0.94</v>
      </c>
      <c r="J26" s="179">
        <f>(0.96+0.99+0.99)/3</f>
        <v>0.98</v>
      </c>
      <c r="K26" s="62">
        <f>(1+1+0.98)/3</f>
        <v>0.99333333333333329</v>
      </c>
      <c r="L26" s="62">
        <f>(0.98+0.99+0.97)/3</f>
        <v>0.98</v>
      </c>
      <c r="M26" s="231" t="s">
        <v>278</v>
      </c>
      <c r="N26" s="231" t="s">
        <v>311</v>
      </c>
      <c r="O26" s="231" t="s">
        <v>339</v>
      </c>
      <c r="P26" s="231" t="s">
        <v>355</v>
      </c>
      <c r="Q26" s="231"/>
      <c r="R26" s="231"/>
    </row>
    <row r="27" spans="1:18" ht="76.5" x14ac:dyDescent="0.2">
      <c r="A27" s="65" t="s">
        <v>194</v>
      </c>
      <c r="B27" s="196" t="s">
        <v>234</v>
      </c>
      <c r="C27" s="76" t="s">
        <v>85</v>
      </c>
      <c r="D27" s="124" t="s">
        <v>110</v>
      </c>
      <c r="E27" s="153" t="s">
        <v>134</v>
      </c>
      <c r="F27" s="40">
        <v>0.99</v>
      </c>
      <c r="G27" s="119">
        <f>(0.97+0.98+0.97)/3</f>
        <v>0.97333333333333327</v>
      </c>
      <c r="H27" s="179">
        <f>(0.92+0.99+1)/3</f>
        <v>0.97000000000000008</v>
      </c>
      <c r="I27" s="119">
        <f>(0.99+1+0.88)/3</f>
        <v>0.95666666666666667</v>
      </c>
      <c r="J27" s="62">
        <f>(1+1+1)/3</f>
        <v>1</v>
      </c>
      <c r="K27" s="62">
        <f>(1+1+1)/3</f>
        <v>1</v>
      </c>
      <c r="L27" s="62">
        <f>(1+1+1)/3</f>
        <v>1</v>
      </c>
      <c r="M27" s="84" t="s">
        <v>280</v>
      </c>
      <c r="N27" s="84" t="s">
        <v>310</v>
      </c>
      <c r="O27" s="84" t="s">
        <v>350</v>
      </c>
      <c r="P27" s="84"/>
      <c r="Q27" s="84"/>
      <c r="R27" s="84"/>
    </row>
    <row r="28" spans="1:18" ht="25.5" x14ac:dyDescent="0.2">
      <c r="A28" s="65" t="s">
        <v>195</v>
      </c>
      <c r="B28" s="196" t="s">
        <v>235</v>
      </c>
      <c r="C28" s="76" t="s">
        <v>86</v>
      </c>
      <c r="D28" s="124"/>
      <c r="E28" s="39" t="s">
        <v>53</v>
      </c>
      <c r="F28" s="40">
        <v>0.99</v>
      </c>
      <c r="G28" s="62">
        <f>(1+1+1)/3</f>
        <v>1</v>
      </c>
      <c r="H28" s="62">
        <f>(1+1+1)/3</f>
        <v>1</v>
      </c>
      <c r="I28" s="62">
        <f>(1+0.9916+1)/3</f>
        <v>0.99719999999999998</v>
      </c>
      <c r="J28" s="62">
        <f>(1+0.9916+1)/3</f>
        <v>0.99719999999999998</v>
      </c>
      <c r="K28" s="62">
        <f>(0.9984+1+1)/3</f>
        <v>0.99946666666666673</v>
      </c>
      <c r="L28" s="62">
        <f>(0.9986+1+1)/3</f>
        <v>0.99953333333333338</v>
      </c>
      <c r="M28" s="35"/>
      <c r="N28" s="35"/>
      <c r="O28" s="35"/>
      <c r="P28" s="35"/>
      <c r="Q28" s="35"/>
      <c r="R28" s="35"/>
    </row>
    <row r="29" spans="1:18" ht="13.5" thickBot="1" x14ac:dyDescent="0.25">
      <c r="A29" s="69"/>
      <c r="B29" s="70"/>
      <c r="C29" s="71"/>
      <c r="D29" s="72"/>
      <c r="E29" s="44"/>
      <c r="F29" s="45"/>
      <c r="G29" s="45"/>
      <c r="H29" s="45"/>
      <c r="I29" s="45"/>
      <c r="J29" s="45"/>
      <c r="K29" s="45"/>
      <c r="L29" s="45"/>
      <c r="M29" s="35"/>
      <c r="N29" s="35"/>
      <c r="O29" s="35"/>
      <c r="P29" s="35"/>
      <c r="Q29" s="35"/>
      <c r="R29" s="35"/>
    </row>
    <row r="30" spans="1:18" ht="55.5" customHeight="1" x14ac:dyDescent="0.2">
      <c r="A30" s="65" t="s">
        <v>196</v>
      </c>
      <c r="B30" s="195" t="s">
        <v>185</v>
      </c>
      <c r="C30" s="74" t="s">
        <v>87</v>
      </c>
      <c r="D30" s="124"/>
      <c r="E30" s="153" t="s">
        <v>2</v>
      </c>
      <c r="F30" s="40">
        <v>0.97</v>
      </c>
      <c r="G30" s="126">
        <f>(0.99+1+1)/3</f>
        <v>0.9966666666666667</v>
      </c>
      <c r="H30" s="126">
        <f>(0.98+0.98+1)/3</f>
        <v>0.98666666666666669</v>
      </c>
      <c r="I30" s="126">
        <f>(0.992+0.996+0.999)/3</f>
        <v>0.9956666666666667</v>
      </c>
      <c r="J30" s="126">
        <f>(1+0.995+0.998)/3</f>
        <v>0.99766666666666681</v>
      </c>
      <c r="K30" s="126">
        <f>(0.985+1+0.992)/3</f>
        <v>0.99233333333333329</v>
      </c>
      <c r="L30" s="197">
        <f>(0.99+0.69+0.847)/3</f>
        <v>0.84233333333333338</v>
      </c>
      <c r="M30" s="120"/>
      <c r="N30" s="120"/>
      <c r="O30" s="120"/>
      <c r="P30" s="120"/>
      <c r="Q30" s="84"/>
      <c r="R30" s="84" t="s">
        <v>449</v>
      </c>
    </row>
    <row r="31" spans="1:18" ht="31.5" customHeight="1" x14ac:dyDescent="0.2">
      <c r="A31" s="65" t="s">
        <v>197</v>
      </c>
      <c r="B31" s="195" t="s">
        <v>194</v>
      </c>
      <c r="C31" s="77" t="s">
        <v>88</v>
      </c>
      <c r="D31" s="124"/>
      <c r="E31" s="153" t="s">
        <v>2</v>
      </c>
      <c r="F31" s="40">
        <v>0.97</v>
      </c>
      <c r="G31" s="119">
        <f>(0.87+1+1)/3</f>
        <v>0.95666666666666667</v>
      </c>
      <c r="H31" s="62">
        <f>(1+1+1)/3</f>
        <v>1</v>
      </c>
      <c r="I31" s="62">
        <f>(1+1+1)/3</f>
        <v>1</v>
      </c>
      <c r="J31" s="62">
        <f>(1+1+1)/3</f>
        <v>1</v>
      </c>
      <c r="K31" s="62">
        <f>(1+0.99+1)/3</f>
        <v>0.9966666666666667</v>
      </c>
      <c r="L31" s="62">
        <f>(0.99+1+1)/3</f>
        <v>0.9966666666666667</v>
      </c>
      <c r="M31" s="84" t="s">
        <v>276</v>
      </c>
      <c r="N31" s="84"/>
      <c r="O31" s="84"/>
      <c r="P31" s="84"/>
      <c r="Q31" s="84"/>
      <c r="R31" s="84"/>
    </row>
    <row r="32" spans="1:18" ht="25.5" x14ac:dyDescent="0.2">
      <c r="A32" s="65" t="s">
        <v>198</v>
      </c>
      <c r="B32" s="195" t="s">
        <v>195</v>
      </c>
      <c r="C32" s="73" t="s">
        <v>89</v>
      </c>
      <c r="D32" s="124"/>
      <c r="E32" s="153" t="s">
        <v>2</v>
      </c>
      <c r="F32" s="40">
        <v>0.97</v>
      </c>
      <c r="G32" s="197">
        <f>(0.98+0.84+0.95)/3</f>
        <v>0.92333333333333323</v>
      </c>
      <c r="H32" s="197">
        <f>(0.89+0.9+0.98)/3</f>
        <v>0.92333333333333334</v>
      </c>
      <c r="I32" s="62">
        <f>(0.95+0.99+1)/3</f>
        <v>0.98</v>
      </c>
      <c r="J32" s="62">
        <f>(1+0.99+0.99)/3</f>
        <v>0.99333333333333329</v>
      </c>
      <c r="K32" s="179">
        <f>(0.92+1+0.99)/3</f>
        <v>0.97000000000000008</v>
      </c>
      <c r="L32" s="62">
        <f>(0.99+0.99+1)/3</f>
        <v>0.99333333333333329</v>
      </c>
      <c r="M32" s="84" t="s">
        <v>277</v>
      </c>
      <c r="N32" s="84" t="s">
        <v>277</v>
      </c>
      <c r="O32" s="84" t="s">
        <v>277</v>
      </c>
      <c r="P32" s="84"/>
      <c r="Q32" s="84" t="s">
        <v>277</v>
      </c>
      <c r="R32" s="84"/>
    </row>
    <row r="33" spans="1:18" ht="76.5" x14ac:dyDescent="0.2">
      <c r="A33" s="65" t="s">
        <v>199</v>
      </c>
      <c r="B33" s="195" t="s">
        <v>236</v>
      </c>
      <c r="C33" s="73" t="s">
        <v>90</v>
      </c>
      <c r="D33" s="121"/>
      <c r="E33" s="153" t="s">
        <v>2</v>
      </c>
      <c r="F33" s="40">
        <v>0.97</v>
      </c>
      <c r="G33" s="179">
        <f>(1+0.97+0.96)/3</f>
        <v>0.97666666666666657</v>
      </c>
      <c r="H33" s="119">
        <f>(0.9+0.84+0.95)/3</f>
        <v>0.89666666666666661</v>
      </c>
      <c r="I33" s="119">
        <f>(0.91+0.95+0.96)/3</f>
        <v>0.94</v>
      </c>
      <c r="J33" s="179">
        <f>(0.96+0.99+0.99)/3</f>
        <v>0.98</v>
      </c>
      <c r="K33" s="62">
        <f>(1+1+0.98)/3</f>
        <v>0.99333333333333329</v>
      </c>
      <c r="L33" s="62">
        <f>(0.98+0.99+0.97)/3</f>
        <v>0.98</v>
      </c>
      <c r="M33" s="84" t="s">
        <v>279</v>
      </c>
      <c r="N33" s="84" t="s">
        <v>312</v>
      </c>
      <c r="O33" s="84" t="s">
        <v>312</v>
      </c>
      <c r="P33" s="84" t="s">
        <v>312</v>
      </c>
      <c r="Q33" s="84"/>
      <c r="R33" s="84"/>
    </row>
    <row r="34" spans="1:18" s="30" customFormat="1" ht="25.5" x14ac:dyDescent="0.2">
      <c r="A34" s="65" t="s">
        <v>200</v>
      </c>
      <c r="B34" s="196" t="s">
        <v>237</v>
      </c>
      <c r="C34" s="73" t="s">
        <v>91</v>
      </c>
      <c r="D34" s="121"/>
      <c r="E34" s="153" t="s">
        <v>2</v>
      </c>
      <c r="F34" s="40">
        <v>0.97</v>
      </c>
      <c r="G34" s="198">
        <f>(0.97+0.98+0.97)/3</f>
        <v>0.97333333333333327</v>
      </c>
      <c r="H34" s="198">
        <f>(0.92+0.99+1)/3</f>
        <v>0.97000000000000008</v>
      </c>
      <c r="I34" s="179">
        <f>(0.99+1+0.88)/3</f>
        <v>0.95666666666666667</v>
      </c>
      <c r="J34" s="62">
        <f>(1+1+1)/3</f>
        <v>1</v>
      </c>
      <c r="K34" s="62">
        <f>(1+1+1)/3</f>
        <v>1</v>
      </c>
      <c r="L34" s="62">
        <f>(1+1+1)/3</f>
        <v>1</v>
      </c>
      <c r="M34" s="84" t="s">
        <v>281</v>
      </c>
      <c r="N34" s="84" t="s">
        <v>313</v>
      </c>
      <c r="O34" s="84" t="s">
        <v>313</v>
      </c>
      <c r="P34" s="84"/>
      <c r="Q34" s="84"/>
      <c r="R34" s="84"/>
    </row>
    <row r="35" spans="1:18" ht="25.5" x14ac:dyDescent="0.2">
      <c r="A35" s="65" t="s">
        <v>201</v>
      </c>
      <c r="B35" s="196" t="s">
        <v>238</v>
      </c>
      <c r="C35" s="73" t="s">
        <v>92</v>
      </c>
      <c r="D35" s="121"/>
      <c r="E35" s="153" t="s">
        <v>392</v>
      </c>
      <c r="F35" s="40">
        <v>0.95</v>
      </c>
      <c r="G35" s="62">
        <f>((1+1+1)*42+(168-42)*(1+1+1))/(168*3)</f>
        <v>1</v>
      </c>
      <c r="H35" s="62">
        <f>(1+1+1)/3</f>
        <v>1</v>
      </c>
      <c r="I35" s="62">
        <f>(1+1+1)/3</f>
        <v>1</v>
      </c>
      <c r="J35" s="62">
        <f>((1+1+1)*42+(168-42)*(1+1+1))/(168*3)</f>
        <v>1</v>
      </c>
      <c r="K35" s="62">
        <f>((1+1+1)*42+(168-42)*(1+1+1))/(168*3)</f>
        <v>1</v>
      </c>
      <c r="L35" s="62">
        <f>((1+1+1)*42+(168-42)*(1+1+1))/(168*3)</f>
        <v>1</v>
      </c>
      <c r="M35" s="84"/>
      <c r="N35" s="84"/>
      <c r="O35" s="84"/>
      <c r="P35" s="84"/>
      <c r="Q35" s="84"/>
      <c r="R35" s="84"/>
    </row>
    <row r="36" spans="1:18" ht="38.25" x14ac:dyDescent="0.2">
      <c r="A36" s="65" t="s">
        <v>202</v>
      </c>
      <c r="B36" s="196" t="s">
        <v>239</v>
      </c>
      <c r="C36" s="73" t="s">
        <v>93</v>
      </c>
      <c r="D36" s="121"/>
      <c r="E36" s="153" t="s">
        <v>392</v>
      </c>
      <c r="F36" s="82" t="s">
        <v>101</v>
      </c>
      <c r="G36" s="238">
        <f>(0+0+1)/3</f>
        <v>0.33333333333333331</v>
      </c>
      <c r="H36" s="238">
        <f>(0+0+1)/3</f>
        <v>0.33333333333333331</v>
      </c>
      <c r="I36" s="238">
        <f>(3+4+0)/3</f>
        <v>2.3333333333333335</v>
      </c>
      <c r="J36" s="238">
        <f>(0+0+1)/3</f>
        <v>0.33333333333333331</v>
      </c>
      <c r="K36" s="238">
        <f>(3+0+1)/3</f>
        <v>1.3333333333333333</v>
      </c>
      <c r="L36" s="238">
        <f>(0+0+1)/3</f>
        <v>0.33333333333333331</v>
      </c>
      <c r="M36" s="84"/>
      <c r="N36" s="84"/>
      <c r="O36" s="84"/>
      <c r="P36" s="84"/>
      <c r="Q36" s="84"/>
      <c r="R36" s="84"/>
    </row>
    <row r="37" spans="1:18" ht="25.5" x14ac:dyDescent="0.2">
      <c r="A37" s="65" t="s">
        <v>203</v>
      </c>
      <c r="B37" s="196" t="s">
        <v>240</v>
      </c>
      <c r="C37" s="73" t="s">
        <v>94</v>
      </c>
      <c r="D37" s="121"/>
      <c r="E37" s="153" t="s">
        <v>392</v>
      </c>
      <c r="F37" s="40">
        <v>0.7</v>
      </c>
      <c r="G37" s="194">
        <f>(0.84+0.79+0.72)/3</f>
        <v>0.78333333333333321</v>
      </c>
      <c r="H37" s="194">
        <f>(0.67+0.77+0.88)/3</f>
        <v>0.77333333333333332</v>
      </c>
      <c r="I37" s="228">
        <f>(0.88+0.85+0.89)/3</f>
        <v>0.87333333333333341</v>
      </c>
      <c r="J37" s="228">
        <f>(0.87+0.84+0.84)/3</f>
        <v>0.85</v>
      </c>
      <c r="K37" s="228">
        <f>(0.86+0.85+0.82)/3</f>
        <v>0.84333333333333327</v>
      </c>
      <c r="L37" s="228">
        <f>(0.82+0.85+0.86)/3</f>
        <v>0.84333333333333327</v>
      </c>
      <c r="M37" s="84"/>
      <c r="N37" s="84"/>
      <c r="O37" s="84"/>
      <c r="P37" s="84"/>
      <c r="Q37" s="84"/>
      <c r="R37" s="84"/>
    </row>
    <row r="38" spans="1:18" x14ac:dyDescent="0.2">
      <c r="A38" s="65" t="s">
        <v>204</v>
      </c>
      <c r="B38" s="196" t="s">
        <v>241</v>
      </c>
      <c r="C38" s="73" t="s">
        <v>95</v>
      </c>
      <c r="D38" s="121"/>
      <c r="E38" s="153" t="s">
        <v>392</v>
      </c>
      <c r="F38" s="40">
        <v>0.7</v>
      </c>
      <c r="G38" s="194">
        <f>(0.97+0.88+0.98)/3</f>
        <v>0.94333333333333336</v>
      </c>
      <c r="H38" s="194">
        <f>(0.94+0.95+0.96)/3</f>
        <v>0.94999999999999984</v>
      </c>
      <c r="I38" s="228">
        <f>(0.97+0.85+0.9)/3</f>
        <v>0.90666666666666662</v>
      </c>
      <c r="J38" s="228">
        <f>(0.92+0.89+0.98)/3</f>
        <v>0.93</v>
      </c>
      <c r="K38" s="228">
        <f>(0.98+0.87+0.96)/3</f>
        <v>0.93666666666666665</v>
      </c>
      <c r="L38" s="228">
        <f>(0.93+0.93+0.91)/3</f>
        <v>0.92333333333333334</v>
      </c>
      <c r="M38" s="84"/>
      <c r="N38" s="84"/>
      <c r="O38" s="84"/>
      <c r="P38" s="84"/>
      <c r="Q38" s="84"/>
      <c r="R38" s="84"/>
    </row>
    <row r="39" spans="1:18" ht="25.5" x14ac:dyDescent="0.2">
      <c r="A39" s="65" t="s">
        <v>205</v>
      </c>
      <c r="B39" s="196" t="s">
        <v>242</v>
      </c>
      <c r="C39" s="73" t="s">
        <v>102</v>
      </c>
      <c r="D39" s="121"/>
      <c r="E39" s="153" t="s">
        <v>392</v>
      </c>
      <c r="F39" s="40">
        <v>0.2</v>
      </c>
      <c r="G39" s="194">
        <f>(0.78+0.79+0.75)/3</f>
        <v>0.77333333333333343</v>
      </c>
      <c r="H39" s="194"/>
      <c r="I39" s="228">
        <f>(0.47+0.46+0.47)/3</f>
        <v>0.46666666666666662</v>
      </c>
      <c r="J39" s="228">
        <f>(0.51+0.54+0.54)/3</f>
        <v>0.53</v>
      </c>
      <c r="K39" s="228">
        <f>(0.52+0.45+0.44)/3</f>
        <v>0.47</v>
      </c>
      <c r="L39" s="228">
        <f>(0.45+0.43+0.33)/3</f>
        <v>0.40333333333333332</v>
      </c>
      <c r="M39" s="84"/>
      <c r="N39" s="84"/>
      <c r="O39" s="84"/>
      <c r="P39" s="84"/>
      <c r="Q39" s="84"/>
      <c r="R39" s="84"/>
    </row>
    <row r="40" spans="1:18" ht="13.5" thickBot="1" x14ac:dyDescent="0.25">
      <c r="A40" s="65" t="s">
        <v>206</v>
      </c>
      <c r="B40" s="196" t="s">
        <v>243</v>
      </c>
      <c r="C40" s="78" t="s">
        <v>103</v>
      </c>
      <c r="D40" s="121"/>
      <c r="E40" s="39" t="s">
        <v>53</v>
      </c>
      <c r="F40" s="41">
        <f>6770*0.8</f>
        <v>5416</v>
      </c>
      <c r="G40" s="194">
        <f>(22900+22480+21970)/3</f>
        <v>22450</v>
      </c>
      <c r="H40" s="194">
        <f>(22600+23500+24100)/3</f>
        <v>23400</v>
      </c>
      <c r="I40" s="227">
        <f>(24800+26900+27600)/3</f>
        <v>26433.333333333332</v>
      </c>
      <c r="J40" s="227">
        <f>(28700+31500+32700)/3</f>
        <v>30966.666666666668</v>
      </c>
      <c r="K40" s="227">
        <f>(33400+34300+35000)/3</f>
        <v>34233.333333333336</v>
      </c>
      <c r="L40" s="227">
        <f>(36890+36940+35800)/3</f>
        <v>36543.333333333336</v>
      </c>
      <c r="M40" s="84"/>
      <c r="N40" s="84"/>
      <c r="O40" s="84"/>
      <c r="P40" s="84"/>
      <c r="Q40" s="84"/>
      <c r="R40" s="84"/>
    </row>
    <row r="41" spans="1:18" x14ac:dyDescent="0.2">
      <c r="M41" s="27"/>
      <c r="N41" s="27"/>
      <c r="O41" s="27"/>
      <c r="P41" s="27"/>
      <c r="Q41" s="27"/>
      <c r="R41" s="27"/>
    </row>
    <row r="42" spans="1:18" ht="13.5" thickBot="1" x14ac:dyDescent="0.25">
      <c r="A42" s="163" t="s">
        <v>207</v>
      </c>
    </row>
    <row r="43" spans="1:18" ht="26.25" thickTop="1" x14ac:dyDescent="0.2">
      <c r="A43" s="164" t="s">
        <v>141</v>
      </c>
      <c r="B43" s="165"/>
      <c r="C43" s="166" t="s">
        <v>142</v>
      </c>
      <c r="D43" s="167"/>
      <c r="E43" s="168" t="s">
        <v>151</v>
      </c>
      <c r="F43" s="167"/>
      <c r="G43" s="169"/>
      <c r="H43" s="169"/>
      <c r="I43" s="169"/>
      <c r="J43" s="169"/>
      <c r="K43" s="169"/>
      <c r="L43" s="246"/>
      <c r="M43" s="170"/>
      <c r="N43" s="170"/>
      <c r="O43" s="170"/>
      <c r="P43" s="170"/>
      <c r="Q43" s="170"/>
      <c r="R43" s="170"/>
    </row>
    <row r="44" spans="1:18" ht="25.5" x14ac:dyDescent="0.2">
      <c r="A44" s="171" t="s">
        <v>147</v>
      </c>
      <c r="B44" s="154"/>
      <c r="C44" s="155" t="s">
        <v>143</v>
      </c>
      <c r="D44" s="38"/>
      <c r="E44" s="157" t="s">
        <v>151</v>
      </c>
      <c r="F44" s="38"/>
      <c r="G44" s="158"/>
      <c r="H44" s="158"/>
      <c r="I44" s="158"/>
      <c r="J44" s="158"/>
      <c r="K44" s="158"/>
      <c r="L44" s="247"/>
      <c r="M44" s="172"/>
      <c r="N44" s="172"/>
      <c r="O44" s="172"/>
      <c r="P44" s="172"/>
      <c r="Q44" s="172"/>
      <c r="R44" s="172"/>
    </row>
    <row r="45" spans="1:18" ht="63.75" customHeight="1" x14ac:dyDescent="0.2">
      <c r="A45" s="171" t="s">
        <v>148</v>
      </c>
      <c r="B45" s="154"/>
      <c r="C45" s="156" t="s">
        <v>144</v>
      </c>
      <c r="D45" s="38"/>
      <c r="E45" s="157" t="s">
        <v>151</v>
      </c>
      <c r="F45" s="38"/>
      <c r="G45" s="158"/>
      <c r="H45" s="158"/>
      <c r="I45" s="158"/>
      <c r="J45" s="158"/>
      <c r="K45" s="158"/>
      <c r="L45" s="247"/>
      <c r="M45" s="173"/>
      <c r="N45" s="173"/>
      <c r="O45" s="173"/>
      <c r="P45" s="173"/>
      <c r="Q45" s="173"/>
      <c r="R45" s="173"/>
    </row>
    <row r="46" spans="1:18" s="210" customFormat="1" ht="84.75" customHeight="1" x14ac:dyDescent="0.2">
      <c r="A46" s="202" t="s">
        <v>149</v>
      </c>
      <c r="B46" s="203"/>
      <c r="C46" s="204" t="s">
        <v>145</v>
      </c>
      <c r="D46" s="205"/>
      <c r="E46" s="206" t="s">
        <v>151</v>
      </c>
      <c r="F46" s="207" t="s">
        <v>152</v>
      </c>
      <c r="G46" s="208"/>
      <c r="H46" s="208"/>
      <c r="I46" s="230">
        <v>1</v>
      </c>
      <c r="J46" s="230">
        <v>1</v>
      </c>
      <c r="K46" s="230">
        <v>0.99990000000000001</v>
      </c>
      <c r="L46" s="248"/>
      <c r="M46" s="209" t="s">
        <v>286</v>
      </c>
      <c r="N46" s="209"/>
      <c r="O46" s="209"/>
      <c r="P46" s="209"/>
      <c r="Q46" s="209" t="s">
        <v>421</v>
      </c>
      <c r="R46" s="209"/>
    </row>
    <row r="47" spans="1:18" s="210" customFormat="1" ht="54" customHeight="1" thickBot="1" x14ac:dyDescent="0.25">
      <c r="A47" s="211" t="s">
        <v>150</v>
      </c>
      <c r="B47" s="212"/>
      <c r="C47" s="213" t="s">
        <v>146</v>
      </c>
      <c r="D47" s="214"/>
      <c r="E47" s="215" t="s">
        <v>393</v>
      </c>
      <c r="F47" s="216" t="s">
        <v>152</v>
      </c>
      <c r="G47" s="218">
        <v>100</v>
      </c>
      <c r="H47" s="218">
        <v>99.96</v>
      </c>
      <c r="I47" s="218">
        <v>100</v>
      </c>
      <c r="J47" s="218">
        <v>100</v>
      </c>
      <c r="K47" s="218">
        <v>99</v>
      </c>
      <c r="L47" s="249">
        <v>100</v>
      </c>
      <c r="M47" s="217"/>
      <c r="N47" s="217"/>
      <c r="O47" s="217"/>
      <c r="P47" s="217"/>
      <c r="Q47" s="217"/>
      <c r="R47" s="217"/>
    </row>
    <row r="48" spans="1:18" ht="13.5" thickTop="1" x14ac:dyDescent="0.2"/>
  </sheetData>
  <phoneticPr fontId="0"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7"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c r="C9" s="272"/>
      <c r="D9" s="272"/>
      <c r="E9" s="272"/>
      <c r="F9" s="272"/>
      <c r="G9" s="273"/>
      <c r="H9" s="273"/>
      <c r="I9" s="273"/>
      <c r="J9" s="273"/>
      <c r="K9" s="274"/>
      <c r="N9" s="142"/>
    </row>
    <row r="10" spans="1:14" ht="217.5" customHeight="1" x14ac:dyDescent="0.2">
      <c r="A10" s="58" t="s">
        <v>50</v>
      </c>
      <c r="B10" s="275" t="s">
        <v>139</v>
      </c>
      <c r="C10" s="276"/>
      <c r="D10" s="276"/>
      <c r="E10" s="276"/>
      <c r="F10" s="276"/>
      <c r="G10" s="277" t="s">
        <v>296</v>
      </c>
      <c r="H10" s="277"/>
      <c r="I10" s="277"/>
      <c r="J10" s="277"/>
      <c r="K10" s="278"/>
    </row>
    <row r="11" spans="1:14" ht="143.25" customHeight="1" x14ac:dyDescent="0.2">
      <c r="A11" s="58" t="s">
        <v>48</v>
      </c>
      <c r="B11" s="275" t="s">
        <v>307</v>
      </c>
      <c r="C11" s="276"/>
      <c r="D11" s="276"/>
      <c r="E11" s="276"/>
      <c r="F11" s="276"/>
      <c r="G11" s="277"/>
      <c r="H11" s="277"/>
      <c r="I11" s="277"/>
      <c r="J11" s="277"/>
      <c r="K11" s="278"/>
    </row>
    <row r="12" spans="1:14" ht="241.5" customHeight="1" x14ac:dyDescent="0.2">
      <c r="A12" s="58" t="s">
        <v>58</v>
      </c>
      <c r="B12" s="275"/>
      <c r="C12" s="276"/>
      <c r="D12" s="276"/>
      <c r="E12" s="276"/>
      <c r="F12" s="276"/>
      <c r="G12" s="277" t="s">
        <v>306</v>
      </c>
      <c r="H12" s="277"/>
      <c r="I12" s="277"/>
      <c r="J12" s="277"/>
      <c r="K12" s="278"/>
    </row>
    <row r="13" spans="1:14" ht="243.75" customHeight="1" x14ac:dyDescent="0.2">
      <c r="A13" s="58" t="s">
        <v>57</v>
      </c>
      <c r="B13" s="275" t="s">
        <v>297</v>
      </c>
      <c r="C13" s="276"/>
      <c r="D13" s="276"/>
      <c r="E13" s="276"/>
      <c r="F13" s="276"/>
      <c r="G13" s="276" t="s">
        <v>298</v>
      </c>
      <c r="H13" s="276"/>
      <c r="I13" s="276"/>
      <c r="J13" s="276"/>
      <c r="K13" s="279"/>
    </row>
    <row r="14" spans="1:14" ht="290.25" customHeight="1" x14ac:dyDescent="0.2">
      <c r="A14" s="58" t="s">
        <v>246</v>
      </c>
      <c r="B14" s="373" t="s">
        <v>309</v>
      </c>
      <c r="C14" s="371"/>
      <c r="D14" s="371"/>
      <c r="E14" s="371"/>
      <c r="F14" s="374"/>
      <c r="G14" s="370" t="s">
        <v>303</v>
      </c>
      <c r="H14" s="371"/>
      <c r="I14" s="371"/>
      <c r="J14" s="371"/>
      <c r="K14" s="372"/>
    </row>
    <row r="15" spans="1:14" ht="129.75" customHeight="1" x14ac:dyDescent="0.2">
      <c r="A15" s="58" t="s">
        <v>72</v>
      </c>
      <c r="B15" s="275" t="s">
        <v>304</v>
      </c>
      <c r="C15" s="276"/>
      <c r="D15" s="276"/>
      <c r="E15" s="276"/>
      <c r="F15" s="276"/>
      <c r="G15" s="276"/>
      <c r="H15" s="276"/>
      <c r="I15" s="276"/>
      <c r="J15" s="276"/>
      <c r="K15" s="279"/>
    </row>
    <row r="16" spans="1:14" ht="134.25" customHeight="1" x14ac:dyDescent="0.2">
      <c r="A16" s="59" t="s">
        <v>68</v>
      </c>
      <c r="B16" s="275" t="s">
        <v>305</v>
      </c>
      <c r="C16" s="276"/>
      <c r="D16" s="276"/>
      <c r="E16" s="276"/>
      <c r="F16" s="276"/>
      <c r="G16" s="276"/>
      <c r="H16" s="276"/>
      <c r="I16" s="276"/>
      <c r="J16" s="276"/>
      <c r="K16" s="279"/>
    </row>
    <row r="17" spans="1:11" ht="212.25" customHeight="1" x14ac:dyDescent="0.2">
      <c r="A17" s="58" t="s">
        <v>1</v>
      </c>
      <c r="B17" s="275"/>
      <c r="C17" s="276"/>
      <c r="D17" s="276"/>
      <c r="E17" s="276"/>
      <c r="F17" s="276"/>
      <c r="G17" s="276"/>
      <c r="H17" s="276"/>
      <c r="I17" s="276"/>
      <c r="J17" s="276"/>
      <c r="K17" s="279"/>
    </row>
    <row r="18" spans="1:11" ht="158.25" customHeight="1" x14ac:dyDescent="0.2">
      <c r="A18" s="58" t="s">
        <v>49</v>
      </c>
      <c r="B18" s="275" t="s">
        <v>302</v>
      </c>
      <c r="C18" s="276"/>
      <c r="D18" s="276"/>
      <c r="E18" s="276"/>
      <c r="F18" s="276"/>
      <c r="G18" s="276" t="s">
        <v>301</v>
      </c>
      <c r="H18" s="276"/>
      <c r="I18" s="276"/>
      <c r="J18" s="276"/>
      <c r="K18" s="279"/>
    </row>
    <row r="19" spans="1:11" ht="146.25" customHeight="1" thickBot="1" x14ac:dyDescent="0.25">
      <c r="A19" s="60" t="s">
        <v>107</v>
      </c>
      <c r="B19" s="285" t="s">
        <v>299</v>
      </c>
      <c r="C19" s="286"/>
      <c r="D19" s="286"/>
      <c r="E19" s="286"/>
      <c r="F19" s="287"/>
      <c r="G19" s="288" t="s">
        <v>300</v>
      </c>
      <c r="H19" s="286"/>
      <c r="I19" s="286"/>
      <c r="J19" s="286"/>
      <c r="K19" s="289"/>
    </row>
    <row r="20" spans="1:11" ht="146.25" customHeight="1" thickBot="1" x14ac:dyDescent="0.25">
      <c r="A20" s="60" t="s">
        <v>108</v>
      </c>
      <c r="B20" s="290"/>
      <c r="C20" s="291"/>
      <c r="D20" s="291"/>
      <c r="E20" s="291"/>
      <c r="F20" s="292"/>
      <c r="G20" s="219"/>
      <c r="H20" s="220"/>
      <c r="I20" s="220"/>
      <c r="J20" s="220"/>
      <c r="K20" s="221"/>
    </row>
    <row r="21" spans="1:11" ht="146.25" customHeight="1" thickBot="1" x14ac:dyDescent="0.25">
      <c r="A21" s="60" t="s">
        <v>208</v>
      </c>
      <c r="B21" s="375" t="s">
        <v>293</v>
      </c>
      <c r="C21" s="376"/>
      <c r="D21" s="376"/>
      <c r="E21" s="376"/>
      <c r="F21" s="377"/>
      <c r="G21" s="283" t="s">
        <v>294</v>
      </c>
      <c r="H21" s="281"/>
      <c r="I21" s="281"/>
      <c r="J21" s="281"/>
      <c r="K21" s="284"/>
    </row>
    <row r="22" spans="1:11" ht="180" customHeight="1" thickBot="1" x14ac:dyDescent="0.25">
      <c r="A22" s="60" t="s">
        <v>209</v>
      </c>
      <c r="B22" s="285" t="s">
        <v>291</v>
      </c>
      <c r="C22" s="286"/>
      <c r="D22" s="286"/>
      <c r="E22" s="286"/>
      <c r="F22" s="287"/>
      <c r="G22" s="288" t="s">
        <v>292</v>
      </c>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125</v>
      </c>
      <c r="B27" s="296"/>
      <c r="C27" s="296"/>
      <c r="D27" s="296"/>
      <c r="E27" s="297"/>
      <c r="F27" s="298" t="s">
        <v>126</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57" customHeight="1" thickBot="1" x14ac:dyDescent="0.25">
      <c r="A32" s="305" t="s">
        <v>215</v>
      </c>
      <c r="B32" s="306"/>
      <c r="C32" s="306"/>
      <c r="D32" s="306"/>
      <c r="E32" s="306"/>
      <c r="F32" s="306" t="s">
        <v>216</v>
      </c>
      <c r="G32" s="306"/>
      <c r="H32" s="306"/>
      <c r="I32" s="306"/>
      <c r="J32" s="307"/>
    </row>
    <row r="33" spans="1:15" ht="93" customHeight="1" thickBot="1" x14ac:dyDescent="0.25">
      <c r="A33" s="314" t="s">
        <v>129</v>
      </c>
      <c r="B33" s="315"/>
      <c r="C33" s="315"/>
      <c r="D33" s="315"/>
      <c r="E33" s="315"/>
      <c r="F33" s="316" t="s">
        <v>140</v>
      </c>
      <c r="G33" s="317"/>
      <c r="H33" s="317"/>
      <c r="I33" s="317"/>
      <c r="J33" s="318"/>
    </row>
    <row r="34" spans="1:15" ht="93" customHeight="1" thickBot="1" x14ac:dyDescent="0.25">
      <c r="A34" s="262" t="s">
        <v>268</v>
      </c>
      <c r="B34" s="263"/>
      <c r="C34" s="263"/>
      <c r="D34" s="263"/>
      <c r="E34" s="264"/>
      <c r="F34" s="265" t="s">
        <v>269</v>
      </c>
      <c r="G34" s="266"/>
      <c r="H34" s="266"/>
      <c r="I34" s="266"/>
      <c r="J34" s="267"/>
    </row>
    <row r="35" spans="1:15" ht="93" customHeight="1" thickBot="1" x14ac:dyDescent="0.25">
      <c r="A35" s="262" t="s">
        <v>272</v>
      </c>
      <c r="B35" s="263"/>
      <c r="C35" s="263"/>
      <c r="D35" s="263"/>
      <c r="E35" s="264"/>
      <c r="F35" s="265" t="s">
        <v>322</v>
      </c>
      <c r="G35" s="266"/>
      <c r="H35" s="266"/>
      <c r="I35" s="266"/>
      <c r="J35" s="267"/>
    </row>
    <row r="36" spans="1:15" ht="93" customHeight="1" thickBot="1" x14ac:dyDescent="0.25">
      <c r="A36" s="262" t="s">
        <v>270</v>
      </c>
      <c r="B36" s="263"/>
      <c r="C36" s="263"/>
      <c r="D36" s="263"/>
      <c r="E36" s="264"/>
      <c r="F36" s="265" t="s">
        <v>271</v>
      </c>
      <c r="G36" s="266"/>
      <c r="H36" s="266"/>
      <c r="I36" s="266"/>
      <c r="J36" s="267"/>
    </row>
    <row r="37" spans="1:15" ht="135" customHeight="1" x14ac:dyDescent="0.2">
      <c r="A37" s="314" t="s">
        <v>127</v>
      </c>
      <c r="B37" s="315"/>
      <c r="C37" s="315"/>
      <c r="D37" s="315"/>
      <c r="E37" s="315"/>
      <c r="F37" s="316" t="s">
        <v>128</v>
      </c>
      <c r="G37" s="317"/>
      <c r="H37" s="317"/>
      <c r="I37" s="317"/>
      <c r="J37" s="318"/>
    </row>
    <row r="39" spans="1:15" ht="13.5" thickBot="1" x14ac:dyDescent="0.25">
      <c r="A39" s="1" t="s">
        <v>17</v>
      </c>
    </row>
    <row r="40" spans="1:15" ht="13.5" thickBot="1" x14ac:dyDescent="0.25">
      <c r="A40" s="293" t="s">
        <v>18</v>
      </c>
      <c r="B40" s="294"/>
      <c r="C40" s="294"/>
      <c r="D40" s="294"/>
      <c r="E40" s="294"/>
      <c r="F40" s="319" t="s">
        <v>19</v>
      </c>
      <c r="G40" s="320"/>
      <c r="H40" s="319" t="s">
        <v>20</v>
      </c>
      <c r="I40" s="294"/>
      <c r="J40" s="294"/>
      <c r="K40" s="294"/>
      <c r="L40" s="295"/>
    </row>
    <row r="41" spans="1:15" ht="42.75" customHeight="1" thickBot="1" x14ac:dyDescent="0.25">
      <c r="A41" s="308" t="s">
        <v>314</v>
      </c>
      <c r="B41" s="309"/>
      <c r="C41" s="309"/>
      <c r="D41" s="309"/>
      <c r="E41" s="309"/>
      <c r="F41" s="310" t="s">
        <v>315</v>
      </c>
      <c r="G41" s="311"/>
      <c r="H41" s="298" t="s">
        <v>308</v>
      </c>
      <c r="I41" s="312"/>
      <c r="J41" s="312"/>
      <c r="K41" s="312"/>
      <c r="L41" s="313"/>
    </row>
    <row r="42" spans="1:15" ht="57" customHeight="1" thickBot="1" x14ac:dyDescent="0.25">
      <c r="A42" s="308" t="s">
        <v>316</v>
      </c>
      <c r="B42" s="309"/>
      <c r="C42" s="309"/>
      <c r="D42" s="309"/>
      <c r="E42" s="309"/>
      <c r="F42" s="310" t="s">
        <v>264</v>
      </c>
      <c r="G42" s="311"/>
      <c r="H42" s="298" t="s">
        <v>319</v>
      </c>
      <c r="I42" s="263"/>
      <c r="J42" s="263"/>
      <c r="K42" s="263"/>
      <c r="L42" s="322"/>
    </row>
    <row r="43" spans="1:15" ht="25.5" customHeight="1" thickBot="1" x14ac:dyDescent="0.25">
      <c r="A43" s="262" t="s">
        <v>262</v>
      </c>
      <c r="B43" s="378"/>
      <c r="C43" s="378"/>
      <c r="D43" s="378"/>
      <c r="E43" s="379"/>
      <c r="F43" s="380" t="s">
        <v>265</v>
      </c>
      <c r="G43" s="381"/>
      <c r="H43" s="298" t="s">
        <v>318</v>
      </c>
      <c r="I43" s="378"/>
      <c r="J43" s="378"/>
      <c r="K43" s="378"/>
      <c r="L43" s="382"/>
    </row>
    <row r="44" spans="1:15" ht="24.75" customHeight="1" x14ac:dyDescent="0.2">
      <c r="O44" s="32"/>
    </row>
    <row r="45" spans="1:15" ht="24.75" customHeight="1" thickBot="1" x14ac:dyDescent="0.25">
      <c r="A45" s="1" t="s">
        <v>21</v>
      </c>
      <c r="O45" s="32"/>
    </row>
    <row r="46" spans="1:15" ht="24.75" customHeight="1" thickBot="1" x14ac:dyDescent="0.25">
      <c r="A46" s="293" t="s">
        <v>18</v>
      </c>
      <c r="B46" s="294"/>
      <c r="C46" s="294"/>
      <c r="D46" s="294"/>
      <c r="E46" s="294"/>
      <c r="F46" s="319" t="s">
        <v>19</v>
      </c>
      <c r="G46" s="320"/>
      <c r="H46" s="323" t="s">
        <v>67</v>
      </c>
      <c r="I46" s="324"/>
      <c r="J46" s="324"/>
      <c r="K46" s="324"/>
      <c r="L46" s="325"/>
      <c r="O46" s="32"/>
    </row>
    <row r="47" spans="1:15" ht="115.5" customHeight="1" thickBot="1" x14ac:dyDescent="0.25">
      <c r="A47" s="332" t="s">
        <v>317</v>
      </c>
      <c r="B47" s="333"/>
      <c r="C47" s="333"/>
      <c r="D47" s="333"/>
      <c r="E47" s="333"/>
      <c r="F47" s="334"/>
      <c r="G47" s="335"/>
      <c r="H47" s="298"/>
      <c r="I47" s="296"/>
      <c r="J47" s="296"/>
      <c r="K47" s="296"/>
      <c r="L47" s="299"/>
    </row>
    <row r="48" spans="1:15" ht="115.5" customHeight="1" thickBot="1" x14ac:dyDescent="0.25">
      <c r="A48" s="336"/>
      <c r="B48" s="337"/>
      <c r="C48" s="337"/>
      <c r="D48" s="337"/>
      <c r="E48" s="337"/>
      <c r="F48" s="338"/>
      <c r="G48" s="339"/>
      <c r="H48" s="340"/>
      <c r="I48" s="341"/>
      <c r="J48" s="341"/>
      <c r="K48" s="341"/>
      <c r="L48" s="342"/>
    </row>
    <row r="49" spans="1:15" ht="115.5" customHeight="1" thickBot="1" x14ac:dyDescent="0.25">
      <c r="A49" s="308"/>
      <c r="B49" s="309"/>
      <c r="C49" s="309"/>
      <c r="D49" s="309"/>
      <c r="E49" s="309"/>
      <c r="F49" s="310"/>
      <c r="G49" s="311"/>
      <c r="H49" s="369"/>
      <c r="I49" s="312"/>
      <c r="J49" s="312"/>
      <c r="K49" s="312"/>
      <c r="L49" s="313"/>
    </row>
    <row r="51" spans="1:15" ht="24.75" customHeight="1" thickBot="1" x14ac:dyDescent="0.25">
      <c r="A51" s="50" t="s">
        <v>62</v>
      </c>
      <c r="O51" s="32"/>
    </row>
    <row r="52" spans="1:15" ht="24.75" customHeight="1" thickBot="1" x14ac:dyDescent="0.25">
      <c r="A52" s="268" t="s">
        <v>18</v>
      </c>
      <c r="B52" s="269"/>
      <c r="C52" s="269"/>
      <c r="D52" s="269"/>
      <c r="E52" s="269"/>
      <c r="F52" s="326" t="s">
        <v>63</v>
      </c>
      <c r="G52" s="327"/>
      <c r="H52" s="328" t="s">
        <v>64</v>
      </c>
      <c r="I52" s="329"/>
      <c r="J52" s="326" t="s">
        <v>65</v>
      </c>
      <c r="K52" s="330"/>
      <c r="L52" s="330"/>
      <c r="M52" s="330"/>
      <c r="N52" s="331"/>
      <c r="O52" s="32"/>
    </row>
    <row r="53" spans="1:15" ht="66.75" customHeight="1" thickBot="1" x14ac:dyDescent="0.25">
      <c r="A53" s="353" t="s">
        <v>262</v>
      </c>
      <c r="B53" s="354"/>
      <c r="C53" s="354"/>
      <c r="D53" s="354"/>
      <c r="E53" s="354"/>
      <c r="F53" s="355" t="s">
        <v>265</v>
      </c>
      <c r="G53" s="356"/>
      <c r="H53" s="357" t="s">
        <v>320</v>
      </c>
      <c r="I53" s="358"/>
      <c r="J53" s="359" t="s">
        <v>321</v>
      </c>
      <c r="K53" s="360"/>
      <c r="L53" s="360"/>
      <c r="M53" s="360"/>
      <c r="N53" s="361"/>
    </row>
    <row r="54" spans="1:15" ht="13.5" thickBot="1" x14ac:dyDescent="0.25">
      <c r="A54" s="362"/>
      <c r="B54" s="337"/>
      <c r="C54" s="337"/>
      <c r="D54" s="337"/>
      <c r="E54" s="337"/>
      <c r="F54" s="363"/>
      <c r="G54" s="339"/>
      <c r="H54" s="364"/>
      <c r="I54" s="365"/>
      <c r="J54" s="366"/>
      <c r="K54" s="367"/>
      <c r="L54" s="367"/>
      <c r="M54" s="367"/>
      <c r="N54" s="368"/>
    </row>
    <row r="55" spans="1:15" ht="13.5" thickBot="1" x14ac:dyDescent="0.25">
      <c r="A55" s="50" t="s">
        <v>66</v>
      </c>
    </row>
    <row r="56" spans="1:15" ht="13.5" thickBot="1" x14ac:dyDescent="0.25">
      <c r="A56" s="293" t="s">
        <v>18</v>
      </c>
      <c r="B56" s="294"/>
      <c r="C56" s="294"/>
      <c r="D56" s="294"/>
      <c r="E56" s="294"/>
      <c r="F56" s="319" t="s">
        <v>19</v>
      </c>
      <c r="G56" s="320"/>
      <c r="H56" s="319" t="s">
        <v>20</v>
      </c>
      <c r="I56" s="294"/>
      <c r="J56" s="294"/>
      <c r="K56" s="294"/>
      <c r="L56" s="295"/>
    </row>
    <row r="57" spans="1:15" ht="13.5" customHeight="1" thickBot="1" x14ac:dyDescent="0.25">
      <c r="A57" s="314"/>
      <c r="B57" s="315"/>
      <c r="C57" s="315"/>
      <c r="D57" s="315"/>
      <c r="E57" s="315"/>
      <c r="F57" s="343"/>
      <c r="G57" s="344"/>
      <c r="H57" s="347"/>
      <c r="I57" s="345"/>
      <c r="J57" s="345"/>
      <c r="K57" s="345"/>
      <c r="L57" s="346"/>
    </row>
    <row r="58" spans="1:15" ht="32.25" customHeight="1" thickBot="1" x14ac:dyDescent="0.25">
      <c r="A58" s="314"/>
      <c r="B58" s="315"/>
      <c r="C58" s="315"/>
      <c r="D58" s="315"/>
      <c r="E58" s="315"/>
      <c r="F58" s="343"/>
      <c r="G58" s="344"/>
      <c r="H58" s="316"/>
      <c r="I58" s="345"/>
      <c r="J58" s="345"/>
      <c r="K58" s="345"/>
      <c r="L58" s="346"/>
    </row>
    <row r="59" spans="1:15" x14ac:dyDescent="0.2">
      <c r="A59" s="314"/>
      <c r="B59" s="315"/>
      <c r="C59" s="315"/>
      <c r="D59" s="315"/>
      <c r="E59" s="315"/>
      <c r="F59" s="343"/>
      <c r="G59" s="344"/>
      <c r="H59" s="316"/>
      <c r="I59" s="345"/>
      <c r="J59" s="345"/>
      <c r="K59" s="345"/>
      <c r="L59" s="346"/>
    </row>
  </sheetData>
  <mergeCells count="97">
    <mergeCell ref="A56:E56"/>
    <mergeCell ref="F56:G56"/>
    <mergeCell ref="H56:L56"/>
    <mergeCell ref="A59:E59"/>
    <mergeCell ref="F59:G59"/>
    <mergeCell ref="H59:L59"/>
    <mergeCell ref="A57:E57"/>
    <mergeCell ref="F57:G57"/>
    <mergeCell ref="H57:L57"/>
    <mergeCell ref="A58:E58"/>
    <mergeCell ref="F58:G58"/>
    <mergeCell ref="H58:L58"/>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2:E42"/>
    <mergeCell ref="F42:G42"/>
    <mergeCell ref="H42:L42"/>
    <mergeCell ref="A46:E46"/>
    <mergeCell ref="F46:G46"/>
    <mergeCell ref="H46:L46"/>
    <mergeCell ref="A43:E43"/>
    <mergeCell ref="F43:G43"/>
    <mergeCell ref="H43:L43"/>
    <mergeCell ref="A40:E40"/>
    <mergeCell ref="F40:G40"/>
    <mergeCell ref="H40:L40"/>
    <mergeCell ref="A41:E41"/>
    <mergeCell ref="F41:G41"/>
    <mergeCell ref="H41:L41"/>
    <mergeCell ref="A35:E35"/>
    <mergeCell ref="F35:J35"/>
    <mergeCell ref="A36:E36"/>
    <mergeCell ref="F36:J36"/>
    <mergeCell ref="A37:E37"/>
    <mergeCell ref="F37:J37"/>
    <mergeCell ref="A32:E32"/>
    <mergeCell ref="F32:J32"/>
    <mergeCell ref="A33:E33"/>
    <mergeCell ref="F33:J33"/>
    <mergeCell ref="A34:E34"/>
    <mergeCell ref="F34:J34"/>
    <mergeCell ref="A27:E27"/>
    <mergeCell ref="F27:J27"/>
    <mergeCell ref="A28:E28"/>
    <mergeCell ref="F28:J28"/>
    <mergeCell ref="A31:E31"/>
    <mergeCell ref="F31:J31"/>
    <mergeCell ref="A26:E26"/>
    <mergeCell ref="F26:J26"/>
    <mergeCell ref="B17:F17"/>
    <mergeCell ref="G17:K17"/>
    <mergeCell ref="B18:F18"/>
    <mergeCell ref="G18:K18"/>
    <mergeCell ref="B19:F19"/>
    <mergeCell ref="G19:K19"/>
    <mergeCell ref="B20:F20"/>
    <mergeCell ref="B21:F21"/>
    <mergeCell ref="G21:K21"/>
    <mergeCell ref="B22:F22"/>
    <mergeCell ref="G22:K22"/>
    <mergeCell ref="G14:K14"/>
    <mergeCell ref="B15:F15"/>
    <mergeCell ref="G15:K15"/>
    <mergeCell ref="B16:F16"/>
    <mergeCell ref="G16:K16"/>
    <mergeCell ref="B14:F14"/>
    <mergeCell ref="B8:F8"/>
    <mergeCell ref="G8:K8"/>
    <mergeCell ref="B9:F9"/>
    <mergeCell ref="G9:K9"/>
    <mergeCell ref="B10:F10"/>
    <mergeCell ref="G10:K10"/>
    <mergeCell ref="B11:F11"/>
    <mergeCell ref="G11:K11"/>
    <mergeCell ref="B12:F12"/>
    <mergeCell ref="G12:K12"/>
    <mergeCell ref="B13:F13"/>
    <mergeCell ref="G13:K13"/>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5"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t="s">
        <v>333</v>
      </c>
      <c r="C9" s="272"/>
      <c r="D9" s="272"/>
      <c r="E9" s="272"/>
      <c r="F9" s="272"/>
      <c r="G9" s="273"/>
      <c r="H9" s="273"/>
      <c r="I9" s="273"/>
      <c r="J9" s="273"/>
      <c r="K9" s="274"/>
      <c r="N9" s="142"/>
    </row>
    <row r="10" spans="1:14" ht="217.5" customHeight="1" x14ac:dyDescent="0.2">
      <c r="A10" s="58" t="s">
        <v>50</v>
      </c>
      <c r="B10" s="275" t="s">
        <v>139</v>
      </c>
      <c r="C10" s="276"/>
      <c r="D10" s="276"/>
      <c r="E10" s="276"/>
      <c r="F10" s="276"/>
      <c r="G10" s="277" t="s">
        <v>296</v>
      </c>
      <c r="H10" s="277"/>
      <c r="I10" s="277"/>
      <c r="J10" s="277"/>
      <c r="K10" s="278"/>
    </row>
    <row r="11" spans="1:14" ht="143.25" customHeight="1" x14ac:dyDescent="0.2">
      <c r="A11" s="58" t="s">
        <v>48</v>
      </c>
      <c r="B11" s="275"/>
      <c r="C11" s="276"/>
      <c r="D11" s="276"/>
      <c r="E11" s="276"/>
      <c r="F11" s="276"/>
      <c r="G11" s="277"/>
      <c r="H11" s="277"/>
      <c r="I11" s="277"/>
      <c r="J11" s="277"/>
      <c r="K11" s="278"/>
    </row>
    <row r="12" spans="1:14" ht="241.5" customHeight="1" x14ac:dyDescent="0.2">
      <c r="A12" s="58" t="s">
        <v>58</v>
      </c>
      <c r="B12" s="275" t="s">
        <v>332</v>
      </c>
      <c r="C12" s="276"/>
      <c r="D12" s="276"/>
      <c r="E12" s="276"/>
      <c r="F12" s="276"/>
      <c r="G12" s="277" t="s">
        <v>351</v>
      </c>
      <c r="H12" s="277"/>
      <c r="I12" s="277"/>
      <c r="J12" s="277"/>
      <c r="K12" s="278"/>
    </row>
    <row r="13" spans="1:14" ht="351.75" customHeight="1" x14ac:dyDescent="0.2">
      <c r="A13" s="58" t="s">
        <v>57</v>
      </c>
      <c r="B13" s="275" t="s">
        <v>328</v>
      </c>
      <c r="C13" s="276"/>
      <c r="D13" s="276"/>
      <c r="E13" s="276"/>
      <c r="F13" s="276"/>
      <c r="G13" s="276" t="s">
        <v>338</v>
      </c>
      <c r="H13" s="276"/>
      <c r="I13" s="276"/>
      <c r="J13" s="276"/>
      <c r="K13" s="279"/>
    </row>
    <row r="14" spans="1:14" ht="309" customHeight="1" x14ac:dyDescent="0.2">
      <c r="A14" s="58" t="s">
        <v>246</v>
      </c>
      <c r="B14" s="373" t="s">
        <v>352</v>
      </c>
      <c r="C14" s="371"/>
      <c r="D14" s="371"/>
      <c r="E14" s="371"/>
      <c r="F14" s="374"/>
      <c r="G14" s="370" t="s">
        <v>349</v>
      </c>
      <c r="H14" s="371"/>
      <c r="I14" s="371"/>
      <c r="J14" s="371"/>
      <c r="K14" s="372"/>
    </row>
    <row r="15" spans="1:14" ht="129.75" customHeight="1" x14ac:dyDescent="0.2">
      <c r="A15" s="58" t="s">
        <v>72</v>
      </c>
      <c r="B15" s="275"/>
      <c r="C15" s="276"/>
      <c r="D15" s="276"/>
      <c r="E15" s="276"/>
      <c r="F15" s="276"/>
      <c r="G15" s="276" t="s">
        <v>130</v>
      </c>
      <c r="H15" s="276"/>
      <c r="I15" s="276"/>
      <c r="J15" s="276"/>
      <c r="K15" s="279"/>
    </row>
    <row r="16" spans="1:14" ht="159.75" customHeight="1" x14ac:dyDescent="0.2">
      <c r="A16" s="59" t="s">
        <v>68</v>
      </c>
      <c r="B16" s="275" t="s">
        <v>335</v>
      </c>
      <c r="C16" s="276"/>
      <c r="D16" s="276"/>
      <c r="E16" s="276"/>
      <c r="F16" s="276"/>
      <c r="G16" s="276" t="s">
        <v>331</v>
      </c>
      <c r="H16" s="276"/>
      <c r="I16" s="276"/>
      <c r="J16" s="276"/>
      <c r="K16" s="279"/>
    </row>
    <row r="17" spans="1:11" ht="212.25" customHeight="1" x14ac:dyDescent="0.2">
      <c r="A17" s="58" t="s">
        <v>1</v>
      </c>
      <c r="B17" s="275"/>
      <c r="C17" s="276"/>
      <c r="D17" s="276"/>
      <c r="E17" s="276"/>
      <c r="F17" s="276"/>
      <c r="G17" s="276"/>
      <c r="H17" s="276"/>
      <c r="I17" s="276"/>
      <c r="J17" s="276"/>
      <c r="K17" s="279"/>
    </row>
    <row r="18" spans="1:11" ht="363.75" customHeight="1" x14ac:dyDescent="0.2">
      <c r="A18" s="58" t="s">
        <v>49</v>
      </c>
      <c r="B18" s="275" t="s">
        <v>329</v>
      </c>
      <c r="C18" s="276"/>
      <c r="D18" s="276"/>
      <c r="E18" s="276"/>
      <c r="F18" s="276"/>
      <c r="G18" s="276" t="s">
        <v>330</v>
      </c>
      <c r="H18" s="276"/>
      <c r="I18" s="276"/>
      <c r="J18" s="276"/>
      <c r="K18" s="279"/>
    </row>
    <row r="19" spans="1:11" ht="146.25" customHeight="1" thickBot="1" x14ac:dyDescent="0.25">
      <c r="A19" s="60" t="s">
        <v>107</v>
      </c>
      <c r="B19" s="285" t="s">
        <v>334</v>
      </c>
      <c r="C19" s="286"/>
      <c r="D19" s="286"/>
      <c r="E19" s="286"/>
      <c r="F19" s="287"/>
      <c r="G19" s="288"/>
      <c r="H19" s="286"/>
      <c r="I19" s="286"/>
      <c r="J19" s="286"/>
      <c r="K19" s="289"/>
    </row>
    <row r="20" spans="1:11" ht="146.25" customHeight="1" thickBot="1" x14ac:dyDescent="0.25">
      <c r="A20" s="60" t="s">
        <v>108</v>
      </c>
      <c r="B20" s="290"/>
      <c r="C20" s="291"/>
      <c r="D20" s="291"/>
      <c r="E20" s="291"/>
      <c r="F20" s="292"/>
      <c r="G20" s="222"/>
      <c r="H20" s="223"/>
      <c r="I20" s="223"/>
      <c r="J20" s="223"/>
      <c r="K20" s="224"/>
    </row>
    <row r="21" spans="1:11" ht="146.25" customHeight="1" thickBot="1" x14ac:dyDescent="0.25">
      <c r="A21" s="60" t="s">
        <v>208</v>
      </c>
      <c r="B21" s="375" t="s">
        <v>326</v>
      </c>
      <c r="C21" s="376"/>
      <c r="D21" s="376"/>
      <c r="E21" s="376"/>
      <c r="F21" s="377"/>
      <c r="G21" s="283" t="s">
        <v>327</v>
      </c>
      <c r="H21" s="281"/>
      <c r="I21" s="281"/>
      <c r="J21" s="281"/>
      <c r="K21" s="284"/>
    </row>
    <row r="22" spans="1:11" ht="180" customHeight="1" thickBot="1" x14ac:dyDescent="0.25">
      <c r="A22" s="60" t="s">
        <v>209</v>
      </c>
      <c r="B22" s="285" t="s">
        <v>336</v>
      </c>
      <c r="C22" s="286"/>
      <c r="D22" s="286"/>
      <c r="E22" s="286"/>
      <c r="F22" s="287"/>
      <c r="G22" s="288" t="s">
        <v>337</v>
      </c>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125</v>
      </c>
      <c r="B27" s="296"/>
      <c r="C27" s="296"/>
      <c r="D27" s="296"/>
      <c r="E27" s="297"/>
      <c r="F27" s="298" t="s">
        <v>126</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57" customHeight="1" thickBot="1" x14ac:dyDescent="0.25">
      <c r="A32" s="305" t="s">
        <v>215</v>
      </c>
      <c r="B32" s="306"/>
      <c r="C32" s="306"/>
      <c r="D32" s="306"/>
      <c r="E32" s="306"/>
      <c r="F32" s="306" t="s">
        <v>216</v>
      </c>
      <c r="G32" s="306"/>
      <c r="H32" s="306"/>
      <c r="I32" s="306"/>
      <c r="J32" s="307"/>
    </row>
    <row r="33" spans="1:15" ht="93" customHeight="1" thickBot="1" x14ac:dyDescent="0.25">
      <c r="A33" s="314" t="s">
        <v>129</v>
      </c>
      <c r="B33" s="315"/>
      <c r="C33" s="315"/>
      <c r="D33" s="315"/>
      <c r="E33" s="315"/>
      <c r="F33" s="316" t="s">
        <v>140</v>
      </c>
      <c r="G33" s="317"/>
      <c r="H33" s="317"/>
      <c r="I33" s="317"/>
      <c r="J33" s="318"/>
    </row>
    <row r="34" spans="1:15" ht="93" customHeight="1" thickBot="1" x14ac:dyDescent="0.25">
      <c r="A34" s="262" t="s">
        <v>268</v>
      </c>
      <c r="B34" s="263"/>
      <c r="C34" s="263"/>
      <c r="D34" s="263"/>
      <c r="E34" s="264"/>
      <c r="F34" s="265" t="s">
        <v>269</v>
      </c>
      <c r="G34" s="266"/>
      <c r="H34" s="266"/>
      <c r="I34" s="266"/>
      <c r="J34" s="267"/>
    </row>
    <row r="35" spans="1:15" ht="93" customHeight="1" thickBot="1" x14ac:dyDescent="0.25">
      <c r="A35" s="262" t="s">
        <v>272</v>
      </c>
      <c r="B35" s="263"/>
      <c r="C35" s="263"/>
      <c r="D35" s="263"/>
      <c r="E35" s="264"/>
      <c r="F35" s="265" t="s">
        <v>345</v>
      </c>
      <c r="G35" s="266"/>
      <c r="H35" s="266"/>
      <c r="I35" s="266"/>
      <c r="J35" s="267"/>
    </row>
    <row r="36" spans="1:15" ht="93" customHeight="1" thickBot="1" x14ac:dyDescent="0.25">
      <c r="A36" s="262" t="s">
        <v>270</v>
      </c>
      <c r="B36" s="263"/>
      <c r="C36" s="263"/>
      <c r="D36" s="263"/>
      <c r="E36" s="264"/>
      <c r="F36" s="265" t="s">
        <v>271</v>
      </c>
      <c r="G36" s="266"/>
      <c r="H36" s="266"/>
      <c r="I36" s="266"/>
      <c r="J36" s="267"/>
    </row>
    <row r="37" spans="1:15" ht="135" customHeight="1" x14ac:dyDescent="0.2">
      <c r="A37" s="314" t="s">
        <v>127</v>
      </c>
      <c r="B37" s="315"/>
      <c r="C37" s="315"/>
      <c r="D37" s="315"/>
      <c r="E37" s="315"/>
      <c r="F37" s="316" t="s">
        <v>128</v>
      </c>
      <c r="G37" s="317"/>
      <c r="H37" s="317"/>
      <c r="I37" s="317"/>
      <c r="J37" s="318"/>
    </row>
    <row r="39" spans="1:15" ht="13.5" thickBot="1" x14ac:dyDescent="0.25">
      <c r="A39" s="1" t="s">
        <v>17</v>
      </c>
    </row>
    <row r="40" spans="1:15" ht="13.5" thickBot="1" x14ac:dyDescent="0.25">
      <c r="A40" s="293" t="s">
        <v>18</v>
      </c>
      <c r="B40" s="294"/>
      <c r="C40" s="294"/>
      <c r="D40" s="294"/>
      <c r="E40" s="294"/>
      <c r="F40" s="319" t="s">
        <v>19</v>
      </c>
      <c r="G40" s="320"/>
      <c r="H40" s="319" t="s">
        <v>20</v>
      </c>
      <c r="I40" s="294"/>
      <c r="J40" s="294"/>
      <c r="K40" s="294"/>
      <c r="L40" s="295"/>
    </row>
    <row r="41" spans="1:15" ht="42.75" customHeight="1" thickBot="1" x14ac:dyDescent="0.25">
      <c r="A41" s="308" t="s">
        <v>314</v>
      </c>
      <c r="B41" s="309"/>
      <c r="C41" s="309"/>
      <c r="D41" s="309"/>
      <c r="E41" s="309"/>
      <c r="F41" s="310" t="s">
        <v>315</v>
      </c>
      <c r="G41" s="311"/>
      <c r="H41" s="298" t="s">
        <v>344</v>
      </c>
      <c r="I41" s="312"/>
      <c r="J41" s="312"/>
      <c r="K41" s="312"/>
      <c r="L41" s="313"/>
    </row>
    <row r="42" spans="1:15" ht="57" customHeight="1" thickBot="1" x14ac:dyDescent="0.25">
      <c r="A42" s="308"/>
      <c r="B42" s="309"/>
      <c r="C42" s="309"/>
      <c r="D42" s="309"/>
      <c r="E42" s="309"/>
      <c r="F42" s="310"/>
      <c r="G42" s="311"/>
      <c r="H42" s="298"/>
      <c r="I42" s="263"/>
      <c r="J42" s="263"/>
      <c r="K42" s="263"/>
      <c r="L42" s="322"/>
    </row>
    <row r="43" spans="1:15" ht="25.5" customHeight="1" thickBot="1" x14ac:dyDescent="0.25">
      <c r="A43" s="262"/>
      <c r="B43" s="378"/>
      <c r="C43" s="378"/>
      <c r="D43" s="378"/>
      <c r="E43" s="379"/>
      <c r="F43" s="380"/>
      <c r="G43" s="381"/>
      <c r="H43" s="298"/>
      <c r="I43" s="378"/>
      <c r="J43" s="378"/>
      <c r="K43" s="378"/>
      <c r="L43" s="382"/>
    </row>
    <row r="44" spans="1:15" ht="24.75" customHeight="1" x14ac:dyDescent="0.2">
      <c r="O44" s="32"/>
    </row>
    <row r="45" spans="1:15" ht="24.75" customHeight="1" thickBot="1" x14ac:dyDescent="0.25">
      <c r="A45" s="1" t="s">
        <v>21</v>
      </c>
      <c r="O45" s="32"/>
    </row>
    <row r="46" spans="1:15" ht="24.75" customHeight="1" thickBot="1" x14ac:dyDescent="0.25">
      <c r="A46" s="293" t="s">
        <v>18</v>
      </c>
      <c r="B46" s="294"/>
      <c r="C46" s="294"/>
      <c r="D46" s="294"/>
      <c r="E46" s="294"/>
      <c r="F46" s="319" t="s">
        <v>19</v>
      </c>
      <c r="G46" s="320"/>
      <c r="H46" s="323" t="s">
        <v>67</v>
      </c>
      <c r="I46" s="324"/>
      <c r="J46" s="324"/>
      <c r="K46" s="324"/>
      <c r="L46" s="325"/>
      <c r="O46" s="32"/>
    </row>
    <row r="47" spans="1:15" ht="115.5" customHeight="1" thickBot="1" x14ac:dyDescent="0.25">
      <c r="A47" s="332" t="s">
        <v>347</v>
      </c>
      <c r="B47" s="333"/>
      <c r="C47" s="333"/>
      <c r="D47" s="333"/>
      <c r="E47" s="333"/>
      <c r="F47" s="334" t="s">
        <v>348</v>
      </c>
      <c r="G47" s="335"/>
      <c r="H47" s="298" t="s">
        <v>346</v>
      </c>
      <c r="I47" s="296"/>
      <c r="J47" s="296"/>
      <c r="K47" s="296"/>
      <c r="L47" s="299"/>
    </row>
    <row r="48" spans="1:15" ht="115.5" customHeight="1" thickBot="1" x14ac:dyDescent="0.25">
      <c r="A48" s="336"/>
      <c r="B48" s="337"/>
      <c r="C48" s="337"/>
      <c r="D48" s="337"/>
      <c r="E48" s="337"/>
      <c r="F48" s="338"/>
      <c r="G48" s="339"/>
      <c r="H48" s="340"/>
      <c r="I48" s="341"/>
      <c r="J48" s="341"/>
      <c r="K48" s="341"/>
      <c r="L48" s="342"/>
    </row>
    <row r="49" spans="1:15" ht="115.5" customHeight="1" thickBot="1" x14ac:dyDescent="0.25">
      <c r="A49" s="308"/>
      <c r="B49" s="309"/>
      <c r="C49" s="309"/>
      <c r="D49" s="309"/>
      <c r="E49" s="309"/>
      <c r="F49" s="310"/>
      <c r="G49" s="311"/>
      <c r="H49" s="369"/>
      <c r="I49" s="312"/>
      <c r="J49" s="312"/>
      <c r="K49" s="312"/>
      <c r="L49" s="313"/>
    </row>
    <row r="51" spans="1:15" ht="24.75" customHeight="1" thickBot="1" x14ac:dyDescent="0.25">
      <c r="A51" s="50" t="s">
        <v>62</v>
      </c>
      <c r="O51" s="32"/>
    </row>
    <row r="52" spans="1:15" ht="24.75" customHeight="1" thickBot="1" x14ac:dyDescent="0.25">
      <c r="A52" s="268" t="s">
        <v>18</v>
      </c>
      <c r="B52" s="269"/>
      <c r="C52" s="269"/>
      <c r="D52" s="269"/>
      <c r="E52" s="269"/>
      <c r="F52" s="326" t="s">
        <v>63</v>
      </c>
      <c r="G52" s="327"/>
      <c r="H52" s="328" t="s">
        <v>64</v>
      </c>
      <c r="I52" s="329"/>
      <c r="J52" s="326" t="s">
        <v>65</v>
      </c>
      <c r="K52" s="330"/>
      <c r="L52" s="330"/>
      <c r="M52" s="330"/>
      <c r="N52" s="331"/>
      <c r="O52" s="32"/>
    </row>
    <row r="53" spans="1:15" ht="66.75" customHeight="1" thickBot="1" x14ac:dyDescent="0.25">
      <c r="A53" s="353" t="s">
        <v>262</v>
      </c>
      <c r="B53" s="354"/>
      <c r="C53" s="354"/>
      <c r="D53" s="354"/>
      <c r="E53" s="354"/>
      <c r="F53" s="355" t="s">
        <v>265</v>
      </c>
      <c r="G53" s="356"/>
      <c r="H53" s="357" t="s">
        <v>320</v>
      </c>
      <c r="I53" s="358"/>
      <c r="J53" s="359" t="s">
        <v>321</v>
      </c>
      <c r="K53" s="360"/>
      <c r="L53" s="360"/>
      <c r="M53" s="360"/>
      <c r="N53" s="361"/>
    </row>
    <row r="54" spans="1:15" ht="13.5" thickBot="1" x14ac:dyDescent="0.25">
      <c r="A54" s="362"/>
      <c r="B54" s="337"/>
      <c r="C54" s="337"/>
      <c r="D54" s="337"/>
      <c r="E54" s="337"/>
      <c r="F54" s="363"/>
      <c r="G54" s="339"/>
      <c r="H54" s="364"/>
      <c r="I54" s="365"/>
      <c r="J54" s="366"/>
      <c r="K54" s="367"/>
      <c r="L54" s="367"/>
      <c r="M54" s="367"/>
      <c r="N54" s="368"/>
    </row>
    <row r="55" spans="1:15" ht="13.5" thickBot="1" x14ac:dyDescent="0.25">
      <c r="A55" s="50" t="s">
        <v>66</v>
      </c>
    </row>
    <row r="56" spans="1:15" ht="13.5" thickBot="1" x14ac:dyDescent="0.25">
      <c r="A56" s="293" t="s">
        <v>18</v>
      </c>
      <c r="B56" s="294"/>
      <c r="C56" s="294"/>
      <c r="D56" s="294"/>
      <c r="E56" s="294"/>
      <c r="F56" s="319" t="s">
        <v>19</v>
      </c>
      <c r="G56" s="320"/>
      <c r="H56" s="319" t="s">
        <v>20</v>
      </c>
      <c r="I56" s="294"/>
      <c r="J56" s="294"/>
      <c r="K56" s="294"/>
      <c r="L56" s="295"/>
    </row>
    <row r="57" spans="1:15" ht="13.5" customHeight="1" thickBot="1" x14ac:dyDescent="0.25">
      <c r="A57" s="314"/>
      <c r="B57" s="315"/>
      <c r="C57" s="315"/>
      <c r="D57" s="315"/>
      <c r="E57" s="315"/>
      <c r="F57" s="343"/>
      <c r="G57" s="344"/>
      <c r="H57" s="347"/>
      <c r="I57" s="345"/>
      <c r="J57" s="345"/>
      <c r="K57" s="345"/>
      <c r="L57" s="346"/>
    </row>
    <row r="58" spans="1:15" ht="32.25" customHeight="1" thickBot="1" x14ac:dyDescent="0.25">
      <c r="A58" s="314"/>
      <c r="B58" s="315"/>
      <c r="C58" s="315"/>
      <c r="D58" s="315"/>
      <c r="E58" s="315"/>
      <c r="F58" s="343"/>
      <c r="G58" s="344"/>
      <c r="H58" s="316"/>
      <c r="I58" s="345"/>
      <c r="J58" s="345"/>
      <c r="K58" s="345"/>
      <c r="L58" s="346"/>
    </row>
    <row r="59" spans="1:15" x14ac:dyDescent="0.2">
      <c r="A59" s="314"/>
      <c r="B59" s="315"/>
      <c r="C59" s="315"/>
      <c r="D59" s="315"/>
      <c r="E59" s="315"/>
      <c r="F59" s="343"/>
      <c r="G59" s="344"/>
      <c r="H59" s="316"/>
      <c r="I59" s="345"/>
      <c r="J59" s="345"/>
      <c r="K59" s="345"/>
      <c r="L59" s="346"/>
    </row>
  </sheetData>
  <mergeCells count="97">
    <mergeCell ref="A59:E59"/>
    <mergeCell ref="F59:G59"/>
    <mergeCell ref="H59:L59"/>
    <mergeCell ref="A57:E57"/>
    <mergeCell ref="F57:G57"/>
    <mergeCell ref="H57:L57"/>
    <mergeCell ref="A58:E58"/>
    <mergeCell ref="F58:G58"/>
    <mergeCell ref="H58:L58"/>
    <mergeCell ref="A54:E54"/>
    <mergeCell ref="F54:G54"/>
    <mergeCell ref="H54:I54"/>
    <mergeCell ref="J54:N54"/>
    <mergeCell ref="A56:E56"/>
    <mergeCell ref="F56:G56"/>
    <mergeCell ref="H56:L56"/>
    <mergeCell ref="A52:E52"/>
    <mergeCell ref="F52:G52"/>
    <mergeCell ref="H52:I52"/>
    <mergeCell ref="J52:N52"/>
    <mergeCell ref="A53:E53"/>
    <mergeCell ref="F53:G53"/>
    <mergeCell ref="H53:I53"/>
    <mergeCell ref="J53:N53"/>
    <mergeCell ref="A48:E48"/>
    <mergeCell ref="F48:G48"/>
    <mergeCell ref="H48:L48"/>
    <mergeCell ref="A49:E49"/>
    <mergeCell ref="F49:G49"/>
    <mergeCell ref="H49:L49"/>
    <mergeCell ref="A46:E46"/>
    <mergeCell ref="F46:G46"/>
    <mergeCell ref="H46:L46"/>
    <mergeCell ref="A47:E47"/>
    <mergeCell ref="F47:G47"/>
    <mergeCell ref="H47:L47"/>
    <mergeCell ref="A42:E42"/>
    <mergeCell ref="F42:G42"/>
    <mergeCell ref="H42:L42"/>
    <mergeCell ref="A43:E43"/>
    <mergeCell ref="F43:G43"/>
    <mergeCell ref="H43:L43"/>
    <mergeCell ref="A40:E40"/>
    <mergeCell ref="F40:G40"/>
    <mergeCell ref="H40:L40"/>
    <mergeCell ref="A41:E41"/>
    <mergeCell ref="F41:G41"/>
    <mergeCell ref="H41:L41"/>
    <mergeCell ref="A35:E35"/>
    <mergeCell ref="F35:J35"/>
    <mergeCell ref="A36:E36"/>
    <mergeCell ref="F36:J36"/>
    <mergeCell ref="A37:E37"/>
    <mergeCell ref="F37:J37"/>
    <mergeCell ref="A32:E32"/>
    <mergeCell ref="F32:J32"/>
    <mergeCell ref="A33:E33"/>
    <mergeCell ref="F33:J33"/>
    <mergeCell ref="A34:E34"/>
    <mergeCell ref="F34:J34"/>
    <mergeCell ref="A27:E27"/>
    <mergeCell ref="F27:J27"/>
    <mergeCell ref="A28:E28"/>
    <mergeCell ref="F28:J28"/>
    <mergeCell ref="A31:E31"/>
    <mergeCell ref="F31:J31"/>
    <mergeCell ref="A26:E26"/>
    <mergeCell ref="F26:J26"/>
    <mergeCell ref="B17:F17"/>
    <mergeCell ref="G17:K17"/>
    <mergeCell ref="B18:F18"/>
    <mergeCell ref="G18:K18"/>
    <mergeCell ref="B19:F19"/>
    <mergeCell ref="G19:K19"/>
    <mergeCell ref="B20:F20"/>
    <mergeCell ref="B21:F21"/>
    <mergeCell ref="G21:K21"/>
    <mergeCell ref="B22:F22"/>
    <mergeCell ref="G22:K22"/>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14" workbookViewId="0">
      <selection activeCell="G19" sqref="G19:K1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c r="C9" s="272"/>
      <c r="D9" s="272"/>
      <c r="E9" s="272"/>
      <c r="F9" s="272"/>
      <c r="G9" s="273"/>
      <c r="H9" s="273"/>
      <c r="I9" s="273"/>
      <c r="J9" s="273"/>
      <c r="K9" s="274"/>
      <c r="N9" s="142"/>
    </row>
    <row r="10" spans="1:14" ht="217.5" customHeight="1" x14ac:dyDescent="0.2">
      <c r="A10" s="58" t="s">
        <v>50</v>
      </c>
      <c r="B10" s="275" t="s">
        <v>372</v>
      </c>
      <c r="C10" s="276"/>
      <c r="D10" s="276"/>
      <c r="E10" s="276"/>
      <c r="F10" s="276"/>
      <c r="G10" s="277" t="s">
        <v>380</v>
      </c>
      <c r="H10" s="277"/>
      <c r="I10" s="277"/>
      <c r="J10" s="277"/>
      <c r="K10" s="278"/>
    </row>
    <row r="11" spans="1:14" ht="143.25" customHeight="1" x14ac:dyDescent="0.2">
      <c r="A11" s="58" t="s">
        <v>48</v>
      </c>
      <c r="B11" s="275" t="s">
        <v>368</v>
      </c>
      <c r="C11" s="276"/>
      <c r="D11" s="276"/>
      <c r="E11" s="276"/>
      <c r="F11" s="276"/>
      <c r="G11" s="277"/>
      <c r="H11" s="277"/>
      <c r="I11" s="277"/>
      <c r="J11" s="277"/>
      <c r="K11" s="278"/>
    </row>
    <row r="12" spans="1:14" ht="241.5" customHeight="1" x14ac:dyDescent="0.2">
      <c r="A12" s="58" t="s">
        <v>58</v>
      </c>
      <c r="B12" s="275"/>
      <c r="C12" s="276"/>
      <c r="D12" s="276"/>
      <c r="E12" s="276"/>
      <c r="F12" s="276"/>
      <c r="G12" s="277" t="s">
        <v>370</v>
      </c>
      <c r="H12" s="277"/>
      <c r="I12" s="277"/>
      <c r="J12" s="277"/>
      <c r="K12" s="278"/>
    </row>
    <row r="13" spans="1:14" ht="351.75" customHeight="1" x14ac:dyDescent="0.2">
      <c r="A13" s="58" t="s">
        <v>57</v>
      </c>
      <c r="B13" s="275" t="s">
        <v>359</v>
      </c>
      <c r="C13" s="276"/>
      <c r="D13" s="276"/>
      <c r="E13" s="276"/>
      <c r="F13" s="276"/>
      <c r="G13" s="276" t="s">
        <v>360</v>
      </c>
      <c r="H13" s="276"/>
      <c r="I13" s="276"/>
      <c r="J13" s="276"/>
      <c r="K13" s="279"/>
    </row>
    <row r="14" spans="1:14" ht="309" customHeight="1" x14ac:dyDescent="0.2">
      <c r="A14" s="58" t="s">
        <v>246</v>
      </c>
      <c r="B14" s="373" t="s">
        <v>358</v>
      </c>
      <c r="C14" s="371"/>
      <c r="D14" s="371"/>
      <c r="E14" s="371"/>
      <c r="F14" s="374"/>
      <c r="G14" s="370" t="s">
        <v>369</v>
      </c>
      <c r="H14" s="371"/>
      <c r="I14" s="371"/>
      <c r="J14" s="371"/>
      <c r="K14" s="372"/>
    </row>
    <row r="15" spans="1:14" ht="129.75" customHeight="1" x14ac:dyDescent="0.2">
      <c r="A15" s="58" t="s">
        <v>72</v>
      </c>
      <c r="B15" s="275" t="s">
        <v>363</v>
      </c>
      <c r="C15" s="276"/>
      <c r="D15" s="276"/>
      <c r="E15" s="276"/>
      <c r="F15" s="276"/>
      <c r="G15" s="276" t="s">
        <v>364</v>
      </c>
      <c r="H15" s="276"/>
      <c r="I15" s="276"/>
      <c r="J15" s="276"/>
      <c r="K15" s="279"/>
    </row>
    <row r="16" spans="1:14" ht="159.75" customHeight="1" x14ac:dyDescent="0.2">
      <c r="A16" s="59" t="s">
        <v>68</v>
      </c>
      <c r="B16" s="275" t="s">
        <v>365</v>
      </c>
      <c r="C16" s="276"/>
      <c r="D16" s="276"/>
      <c r="E16" s="276"/>
      <c r="F16" s="276"/>
      <c r="G16" s="276" t="s">
        <v>366</v>
      </c>
      <c r="H16" s="276"/>
      <c r="I16" s="276"/>
      <c r="J16" s="276"/>
      <c r="K16" s="279"/>
    </row>
    <row r="17" spans="1:11" ht="212.25" customHeight="1" x14ac:dyDescent="0.2">
      <c r="A17" s="58" t="s">
        <v>1</v>
      </c>
      <c r="B17" s="275" t="s">
        <v>371</v>
      </c>
      <c r="C17" s="276"/>
      <c r="D17" s="276"/>
      <c r="E17" s="276"/>
      <c r="F17" s="276"/>
      <c r="G17" s="276"/>
      <c r="H17" s="276"/>
      <c r="I17" s="276"/>
      <c r="J17" s="276"/>
      <c r="K17" s="279"/>
    </row>
    <row r="18" spans="1:11" ht="363.75" customHeight="1" x14ac:dyDescent="0.2">
      <c r="A18" s="58" t="s">
        <v>49</v>
      </c>
      <c r="B18" s="275" t="s">
        <v>361</v>
      </c>
      <c r="C18" s="276"/>
      <c r="D18" s="276"/>
      <c r="E18" s="276"/>
      <c r="F18" s="276"/>
      <c r="G18" s="276" t="s">
        <v>362</v>
      </c>
      <c r="H18" s="276"/>
      <c r="I18" s="276"/>
      <c r="J18" s="276"/>
      <c r="K18" s="279"/>
    </row>
    <row r="19" spans="1:11" ht="248.25" customHeight="1" thickBot="1" x14ac:dyDescent="0.25">
      <c r="A19" s="60" t="s">
        <v>107</v>
      </c>
      <c r="B19" s="285"/>
      <c r="C19" s="286"/>
      <c r="D19" s="286"/>
      <c r="E19" s="286"/>
      <c r="F19" s="287"/>
      <c r="G19" s="288" t="s">
        <v>388</v>
      </c>
      <c r="H19" s="286"/>
      <c r="I19" s="286"/>
      <c r="J19" s="286"/>
      <c r="K19" s="289"/>
    </row>
    <row r="20" spans="1:11" ht="146.25" customHeight="1" thickBot="1" x14ac:dyDescent="0.25">
      <c r="A20" s="60" t="s">
        <v>108</v>
      </c>
      <c r="B20" s="290"/>
      <c r="C20" s="291"/>
      <c r="D20" s="291"/>
      <c r="E20" s="291"/>
      <c r="F20" s="292"/>
      <c r="G20" s="283" t="s">
        <v>367</v>
      </c>
      <c r="H20" s="281"/>
      <c r="I20" s="281"/>
      <c r="J20" s="281"/>
      <c r="K20" s="281"/>
    </row>
    <row r="21" spans="1:11" ht="146.25" customHeight="1" thickBot="1" x14ac:dyDescent="0.25">
      <c r="A21" s="60" t="s">
        <v>208</v>
      </c>
      <c r="B21" s="375" t="s">
        <v>356</v>
      </c>
      <c r="C21" s="376"/>
      <c r="D21" s="376"/>
      <c r="E21" s="376"/>
      <c r="F21" s="377"/>
      <c r="G21" s="283" t="s">
        <v>357</v>
      </c>
      <c r="H21" s="281"/>
      <c r="I21" s="281"/>
      <c r="J21" s="281"/>
      <c r="K21" s="284"/>
    </row>
    <row r="22" spans="1:11" ht="180" customHeight="1" thickBot="1" x14ac:dyDescent="0.25">
      <c r="A22" s="60" t="s">
        <v>209</v>
      </c>
      <c r="B22" s="285" t="s">
        <v>373</v>
      </c>
      <c r="C22" s="286"/>
      <c r="D22" s="286"/>
      <c r="E22" s="286"/>
      <c r="F22" s="287"/>
      <c r="G22" s="288"/>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386</v>
      </c>
      <c r="B27" s="296"/>
      <c r="C27" s="296"/>
      <c r="D27" s="296"/>
      <c r="E27" s="297"/>
      <c r="F27" s="298" t="s">
        <v>387</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93" customHeight="1" thickBot="1" x14ac:dyDescent="0.25">
      <c r="A32" s="314" t="s">
        <v>381</v>
      </c>
      <c r="B32" s="315"/>
      <c r="C32" s="315"/>
      <c r="D32" s="315"/>
      <c r="E32" s="315"/>
      <c r="F32" s="316" t="s">
        <v>383</v>
      </c>
      <c r="G32" s="317"/>
      <c r="H32" s="317"/>
      <c r="I32" s="317"/>
      <c r="J32" s="318"/>
    </row>
    <row r="33" spans="1:15" ht="93" customHeight="1" thickBot="1" x14ac:dyDescent="0.25">
      <c r="A33" s="262" t="s">
        <v>268</v>
      </c>
      <c r="B33" s="263"/>
      <c r="C33" s="263"/>
      <c r="D33" s="263"/>
      <c r="E33" s="264"/>
      <c r="F33" s="265" t="s">
        <v>269</v>
      </c>
      <c r="G33" s="266"/>
      <c r="H33" s="266"/>
      <c r="I33" s="266"/>
      <c r="J33" s="267"/>
    </row>
    <row r="34" spans="1:15" ht="93" customHeight="1" thickBot="1" x14ac:dyDescent="0.25">
      <c r="A34" s="262" t="s">
        <v>272</v>
      </c>
      <c r="B34" s="263"/>
      <c r="C34" s="263"/>
      <c r="D34" s="263"/>
      <c r="E34" s="264"/>
      <c r="F34" s="265" t="s">
        <v>379</v>
      </c>
      <c r="G34" s="266"/>
      <c r="H34" s="266"/>
      <c r="I34" s="266"/>
      <c r="J34" s="267"/>
    </row>
    <row r="35" spans="1:15" ht="93" customHeight="1" thickBot="1" x14ac:dyDescent="0.25">
      <c r="A35" s="262" t="s">
        <v>270</v>
      </c>
      <c r="B35" s="263"/>
      <c r="C35" s="263"/>
      <c r="D35" s="263"/>
      <c r="E35" s="264"/>
      <c r="F35" s="265" t="s">
        <v>382</v>
      </c>
      <c r="G35" s="266"/>
      <c r="H35" s="266"/>
      <c r="I35" s="266"/>
      <c r="J35" s="267"/>
    </row>
    <row r="36" spans="1:15" ht="93" customHeight="1" thickBot="1" x14ac:dyDescent="0.25">
      <c r="A36" s="262" t="s">
        <v>384</v>
      </c>
      <c r="B36" s="296"/>
      <c r="C36" s="296"/>
      <c r="D36" s="296"/>
      <c r="E36" s="297"/>
      <c r="F36" s="265" t="s">
        <v>385</v>
      </c>
      <c r="G36" s="383"/>
      <c r="H36" s="383"/>
      <c r="I36" s="383"/>
      <c r="J36" s="384"/>
    </row>
    <row r="37" spans="1:15" ht="135" customHeight="1" x14ac:dyDescent="0.2">
      <c r="A37" s="314" t="s">
        <v>378</v>
      </c>
      <c r="B37" s="315"/>
      <c r="C37" s="315"/>
      <c r="D37" s="315"/>
      <c r="E37" s="315"/>
      <c r="F37" s="316" t="s">
        <v>377</v>
      </c>
      <c r="G37" s="317"/>
      <c r="H37" s="317"/>
      <c r="I37" s="317"/>
      <c r="J37" s="318"/>
    </row>
    <row r="39" spans="1:15" ht="13.5" thickBot="1" x14ac:dyDescent="0.25">
      <c r="A39" s="1" t="s">
        <v>17</v>
      </c>
    </row>
    <row r="40" spans="1:15" ht="13.5" thickBot="1" x14ac:dyDescent="0.25">
      <c r="A40" s="293" t="s">
        <v>18</v>
      </c>
      <c r="B40" s="294"/>
      <c r="C40" s="294"/>
      <c r="D40" s="294"/>
      <c r="E40" s="294"/>
      <c r="F40" s="319" t="s">
        <v>19</v>
      </c>
      <c r="G40" s="320"/>
      <c r="H40" s="319" t="s">
        <v>20</v>
      </c>
      <c r="I40" s="294"/>
      <c r="J40" s="294"/>
      <c r="K40" s="294"/>
      <c r="L40" s="295"/>
    </row>
    <row r="41" spans="1:15" ht="42.75" customHeight="1" thickBot="1" x14ac:dyDescent="0.25">
      <c r="A41" s="308" t="s">
        <v>347</v>
      </c>
      <c r="B41" s="309"/>
      <c r="C41" s="309"/>
      <c r="D41" s="309"/>
      <c r="E41" s="309"/>
      <c r="F41" s="334" t="s">
        <v>348</v>
      </c>
      <c r="G41" s="335"/>
      <c r="H41" s="298" t="s">
        <v>374</v>
      </c>
      <c r="I41" s="263"/>
      <c r="J41" s="263"/>
      <c r="K41" s="263"/>
      <c r="L41" s="322"/>
    </row>
    <row r="42" spans="1:15" ht="57" customHeight="1" thickBot="1" x14ac:dyDescent="0.25">
      <c r="A42" s="308"/>
      <c r="B42" s="309"/>
      <c r="C42" s="309"/>
      <c r="D42" s="309"/>
      <c r="E42" s="309"/>
      <c r="F42" s="334"/>
      <c r="G42" s="335"/>
      <c r="H42" s="298"/>
      <c r="I42" s="263"/>
      <c r="J42" s="263"/>
      <c r="K42" s="263"/>
      <c r="L42" s="322"/>
    </row>
    <row r="43" spans="1:15" ht="25.5" customHeight="1" thickBot="1" x14ac:dyDescent="0.25">
      <c r="A43" s="262"/>
      <c r="B43" s="378"/>
      <c r="C43" s="378"/>
      <c r="D43" s="378"/>
      <c r="E43" s="379"/>
      <c r="F43" s="380"/>
      <c r="G43" s="381"/>
      <c r="H43" s="298"/>
      <c r="I43" s="378"/>
      <c r="J43" s="378"/>
      <c r="K43" s="378"/>
      <c r="L43" s="382"/>
    </row>
    <row r="44" spans="1:15" ht="24.75" customHeight="1" x14ac:dyDescent="0.2">
      <c r="O44" s="32"/>
    </row>
    <row r="45" spans="1:15" ht="24.75" customHeight="1" thickBot="1" x14ac:dyDescent="0.25">
      <c r="A45" s="1" t="s">
        <v>21</v>
      </c>
      <c r="O45" s="32"/>
    </row>
    <row r="46" spans="1:15" ht="24.75" customHeight="1" thickBot="1" x14ac:dyDescent="0.25">
      <c r="A46" s="293" t="s">
        <v>18</v>
      </c>
      <c r="B46" s="294"/>
      <c r="C46" s="294"/>
      <c r="D46" s="294"/>
      <c r="E46" s="294"/>
      <c r="F46" s="319" t="s">
        <v>19</v>
      </c>
      <c r="G46" s="320"/>
      <c r="H46" s="323" t="s">
        <v>67</v>
      </c>
      <c r="I46" s="324"/>
      <c r="J46" s="324"/>
      <c r="K46" s="324"/>
      <c r="L46" s="325"/>
      <c r="O46" s="32"/>
    </row>
    <row r="47" spans="1:15" ht="115.5" customHeight="1" thickBot="1" x14ac:dyDescent="0.25">
      <c r="A47" s="332" t="s">
        <v>375</v>
      </c>
      <c r="B47" s="333"/>
      <c r="C47" s="333"/>
      <c r="D47" s="333"/>
      <c r="E47" s="333"/>
      <c r="F47" s="334"/>
      <c r="G47" s="335"/>
      <c r="H47" s="298"/>
      <c r="I47" s="296"/>
      <c r="J47" s="296"/>
      <c r="K47" s="296"/>
      <c r="L47" s="299"/>
    </row>
    <row r="48" spans="1:15" ht="115.5" customHeight="1" thickBot="1" x14ac:dyDescent="0.25">
      <c r="A48" s="336"/>
      <c r="B48" s="337"/>
      <c r="C48" s="337"/>
      <c r="D48" s="337"/>
      <c r="E48" s="337"/>
      <c r="F48" s="338"/>
      <c r="G48" s="339"/>
      <c r="H48" s="340"/>
      <c r="I48" s="341"/>
      <c r="J48" s="341"/>
      <c r="K48" s="341"/>
      <c r="L48" s="342"/>
    </row>
    <row r="49" spans="1:15" ht="115.5" customHeight="1" thickBot="1" x14ac:dyDescent="0.25">
      <c r="A49" s="308"/>
      <c r="B49" s="309"/>
      <c r="C49" s="309"/>
      <c r="D49" s="309"/>
      <c r="E49" s="309"/>
      <c r="F49" s="310"/>
      <c r="G49" s="311"/>
      <c r="H49" s="369"/>
      <c r="I49" s="312"/>
      <c r="J49" s="312"/>
      <c r="K49" s="312"/>
      <c r="L49" s="313"/>
    </row>
    <row r="51" spans="1:15" ht="24.75" customHeight="1" thickBot="1" x14ac:dyDescent="0.25">
      <c r="A51" s="50" t="s">
        <v>62</v>
      </c>
      <c r="O51" s="32"/>
    </row>
    <row r="52" spans="1:15" ht="24.75" customHeight="1" thickBot="1" x14ac:dyDescent="0.25">
      <c r="A52" s="268" t="s">
        <v>18</v>
      </c>
      <c r="B52" s="269"/>
      <c r="C52" s="269"/>
      <c r="D52" s="269"/>
      <c r="E52" s="269"/>
      <c r="F52" s="326" t="s">
        <v>63</v>
      </c>
      <c r="G52" s="327"/>
      <c r="H52" s="328" t="s">
        <v>64</v>
      </c>
      <c r="I52" s="329"/>
      <c r="J52" s="326" t="s">
        <v>65</v>
      </c>
      <c r="K52" s="330"/>
      <c r="L52" s="330"/>
      <c r="M52" s="330"/>
      <c r="N52" s="331"/>
      <c r="O52" s="32"/>
    </row>
    <row r="53" spans="1:15" ht="66.75" customHeight="1" thickBot="1" x14ac:dyDescent="0.25">
      <c r="A53" s="353" t="s">
        <v>314</v>
      </c>
      <c r="B53" s="354"/>
      <c r="C53" s="354"/>
      <c r="D53" s="354"/>
      <c r="E53" s="354"/>
      <c r="F53" s="355" t="s">
        <v>315</v>
      </c>
      <c r="G53" s="356"/>
      <c r="H53" s="357" t="s">
        <v>376</v>
      </c>
      <c r="I53" s="358"/>
      <c r="J53" s="359" t="s">
        <v>344</v>
      </c>
      <c r="K53" s="360"/>
      <c r="L53" s="360"/>
      <c r="M53" s="360"/>
      <c r="N53" s="361"/>
    </row>
    <row r="54" spans="1:15" ht="13.5" thickBot="1" x14ac:dyDescent="0.25">
      <c r="A54" s="362"/>
      <c r="B54" s="337"/>
      <c r="C54" s="337"/>
      <c r="D54" s="337"/>
      <c r="E54" s="337"/>
      <c r="F54" s="363"/>
      <c r="G54" s="339"/>
      <c r="H54" s="364"/>
      <c r="I54" s="365"/>
      <c r="J54" s="366"/>
      <c r="K54" s="367"/>
      <c r="L54" s="367"/>
      <c r="M54" s="367"/>
      <c r="N54" s="368"/>
    </row>
    <row r="55" spans="1:15" ht="13.5" thickBot="1" x14ac:dyDescent="0.25">
      <c r="A55" s="50" t="s">
        <v>66</v>
      </c>
    </row>
    <row r="56" spans="1:15" ht="13.5" thickBot="1" x14ac:dyDescent="0.25">
      <c r="A56" s="293" t="s">
        <v>18</v>
      </c>
      <c r="B56" s="294"/>
      <c r="C56" s="294"/>
      <c r="D56" s="294"/>
      <c r="E56" s="294"/>
      <c r="F56" s="319" t="s">
        <v>19</v>
      </c>
      <c r="G56" s="320"/>
      <c r="H56" s="319" t="s">
        <v>20</v>
      </c>
      <c r="I56" s="294"/>
      <c r="J56" s="294"/>
      <c r="K56" s="294"/>
      <c r="L56" s="295"/>
    </row>
    <row r="57" spans="1:15" ht="13.5" customHeight="1" thickBot="1" x14ac:dyDescent="0.25">
      <c r="A57" s="314"/>
      <c r="B57" s="315"/>
      <c r="C57" s="315"/>
      <c r="D57" s="315"/>
      <c r="E57" s="315"/>
      <c r="F57" s="343"/>
      <c r="G57" s="344"/>
      <c r="H57" s="347"/>
      <c r="I57" s="345"/>
      <c r="J57" s="345"/>
      <c r="K57" s="345"/>
      <c r="L57" s="346"/>
    </row>
    <row r="58" spans="1:15" ht="32.25" customHeight="1" thickBot="1" x14ac:dyDescent="0.25">
      <c r="A58" s="314"/>
      <c r="B58" s="315"/>
      <c r="C58" s="315"/>
      <c r="D58" s="315"/>
      <c r="E58" s="315"/>
      <c r="F58" s="343"/>
      <c r="G58" s="344"/>
      <c r="H58" s="316"/>
      <c r="I58" s="345"/>
      <c r="J58" s="345"/>
      <c r="K58" s="345"/>
      <c r="L58" s="346"/>
    </row>
    <row r="59" spans="1:15" x14ac:dyDescent="0.2">
      <c r="A59" s="314"/>
      <c r="B59" s="315"/>
      <c r="C59" s="315"/>
      <c r="D59" s="315"/>
      <c r="E59" s="315"/>
      <c r="F59" s="343"/>
      <c r="G59" s="344"/>
      <c r="H59" s="316"/>
      <c r="I59" s="345"/>
      <c r="J59" s="345"/>
      <c r="K59" s="345"/>
      <c r="L59" s="346"/>
    </row>
  </sheetData>
  <mergeCells count="9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A26:E26"/>
    <mergeCell ref="F26:J26"/>
    <mergeCell ref="B17:F17"/>
    <mergeCell ref="G17:K17"/>
    <mergeCell ref="B18:F18"/>
    <mergeCell ref="G18:K18"/>
    <mergeCell ref="B19:F19"/>
    <mergeCell ref="G19:K19"/>
    <mergeCell ref="B20:F20"/>
    <mergeCell ref="B21:F21"/>
    <mergeCell ref="G21:K21"/>
    <mergeCell ref="B22:F22"/>
    <mergeCell ref="G22:K22"/>
    <mergeCell ref="G20:K20"/>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7:E37"/>
    <mergeCell ref="F37:J37"/>
    <mergeCell ref="A36:E36"/>
    <mergeCell ref="F36:J36"/>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9:E59"/>
    <mergeCell ref="F59:G59"/>
    <mergeCell ref="H59:L59"/>
    <mergeCell ref="A57:E57"/>
    <mergeCell ref="F57:G57"/>
    <mergeCell ref="H57:L57"/>
    <mergeCell ref="A58:E58"/>
    <mergeCell ref="F58:G58"/>
    <mergeCell ref="H58:L58"/>
  </mergeCells>
  <pageMargins left="0.74803149606299213" right="0.74803149606299213" top="0.98425196850393704" bottom="0.98425196850393704" header="0.51181102362204722" footer="0.51181102362204722"/>
  <pageSetup scale="56" fitToHeight="3"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37" workbookViewId="0">
      <selection activeCell="B21" sqref="B21:F21"/>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t="s">
        <v>400</v>
      </c>
      <c r="C9" s="272"/>
      <c r="D9" s="272"/>
      <c r="E9" s="272"/>
      <c r="F9" s="272"/>
      <c r="G9" s="273" t="s">
        <v>410</v>
      </c>
      <c r="H9" s="273"/>
      <c r="I9" s="273"/>
      <c r="J9" s="273"/>
      <c r="K9" s="274"/>
      <c r="N9" s="142"/>
    </row>
    <row r="10" spans="1:14" ht="217.5" customHeight="1" x14ac:dyDescent="0.2">
      <c r="A10" s="58" t="s">
        <v>50</v>
      </c>
      <c r="B10" s="275" t="s">
        <v>401</v>
      </c>
      <c r="C10" s="276"/>
      <c r="D10" s="276"/>
      <c r="E10" s="276"/>
      <c r="F10" s="276"/>
      <c r="G10" s="277"/>
      <c r="H10" s="277"/>
      <c r="I10" s="277"/>
      <c r="J10" s="277"/>
      <c r="K10" s="278"/>
    </row>
    <row r="11" spans="1:14" ht="143.25" customHeight="1" x14ac:dyDescent="0.2">
      <c r="A11" s="58" t="s">
        <v>48</v>
      </c>
      <c r="B11" s="275" t="s">
        <v>398</v>
      </c>
      <c r="C11" s="276"/>
      <c r="D11" s="276"/>
      <c r="E11" s="276"/>
      <c r="F11" s="276"/>
      <c r="G11" s="277" t="s">
        <v>412</v>
      </c>
      <c r="H11" s="277"/>
      <c r="I11" s="277"/>
      <c r="J11" s="277"/>
      <c r="K11" s="278"/>
    </row>
    <row r="12" spans="1:14" ht="241.5" customHeight="1" x14ac:dyDescent="0.2">
      <c r="A12" s="58" t="s">
        <v>58</v>
      </c>
      <c r="B12" s="275"/>
      <c r="C12" s="276"/>
      <c r="D12" s="276"/>
      <c r="E12" s="276"/>
      <c r="F12" s="276"/>
      <c r="G12" s="277" t="s">
        <v>399</v>
      </c>
      <c r="H12" s="277"/>
      <c r="I12" s="277"/>
      <c r="J12" s="277"/>
      <c r="K12" s="278"/>
    </row>
    <row r="13" spans="1:14" ht="351.75" customHeight="1" x14ac:dyDescent="0.2">
      <c r="A13" s="58" t="s">
        <v>57</v>
      </c>
      <c r="B13" s="275"/>
      <c r="C13" s="276"/>
      <c r="D13" s="276"/>
      <c r="E13" s="276"/>
      <c r="F13" s="276"/>
      <c r="G13" s="276" t="s">
        <v>422</v>
      </c>
      <c r="H13" s="276"/>
      <c r="I13" s="276"/>
      <c r="J13" s="276"/>
      <c r="K13" s="279"/>
    </row>
    <row r="14" spans="1:14" ht="309" customHeight="1" x14ac:dyDescent="0.2">
      <c r="A14" s="58" t="s">
        <v>246</v>
      </c>
      <c r="B14" s="373" t="s">
        <v>413</v>
      </c>
      <c r="C14" s="371"/>
      <c r="D14" s="371"/>
      <c r="E14" s="371"/>
      <c r="F14" s="374"/>
      <c r="G14" s="370" t="s">
        <v>424</v>
      </c>
      <c r="H14" s="371"/>
      <c r="I14" s="371"/>
      <c r="J14" s="371"/>
      <c r="K14" s="372"/>
    </row>
    <row r="15" spans="1:14" ht="129.75" customHeight="1" x14ac:dyDescent="0.2">
      <c r="A15" s="58" t="s">
        <v>72</v>
      </c>
      <c r="B15" s="275" t="s">
        <v>396</v>
      </c>
      <c r="C15" s="276"/>
      <c r="D15" s="276"/>
      <c r="E15" s="276"/>
      <c r="F15" s="276"/>
      <c r="G15" s="276"/>
      <c r="H15" s="276"/>
      <c r="I15" s="276"/>
      <c r="J15" s="276"/>
      <c r="K15" s="279"/>
    </row>
    <row r="16" spans="1:14" ht="176.25" customHeight="1" x14ac:dyDescent="0.2">
      <c r="A16" s="59" t="s">
        <v>68</v>
      </c>
      <c r="B16" s="275"/>
      <c r="C16" s="276"/>
      <c r="D16" s="276"/>
      <c r="E16" s="276"/>
      <c r="F16" s="276"/>
      <c r="G16" s="276" t="s">
        <v>397</v>
      </c>
      <c r="H16" s="276"/>
      <c r="I16" s="276"/>
      <c r="J16" s="276"/>
      <c r="K16" s="279"/>
    </row>
    <row r="17" spans="1:11" ht="212.25" customHeight="1" x14ac:dyDescent="0.2">
      <c r="A17" s="58" t="s">
        <v>1</v>
      </c>
      <c r="B17" s="275"/>
      <c r="C17" s="276"/>
      <c r="D17" s="276"/>
      <c r="E17" s="276"/>
      <c r="F17" s="276"/>
      <c r="G17" s="276"/>
      <c r="H17" s="276"/>
      <c r="I17" s="276"/>
      <c r="J17" s="276"/>
      <c r="K17" s="279"/>
    </row>
    <row r="18" spans="1:11" ht="409.5" customHeight="1" x14ac:dyDescent="0.2">
      <c r="A18" s="58" t="s">
        <v>49</v>
      </c>
      <c r="B18" s="275" t="s">
        <v>423</v>
      </c>
      <c r="C18" s="276"/>
      <c r="D18" s="276"/>
      <c r="E18" s="276"/>
      <c r="F18" s="276"/>
      <c r="G18" s="276" t="s">
        <v>425</v>
      </c>
      <c r="H18" s="276"/>
      <c r="I18" s="276"/>
      <c r="J18" s="276"/>
      <c r="K18" s="279"/>
    </row>
    <row r="19" spans="1:11" ht="248.25" customHeight="1" thickBot="1" x14ac:dyDescent="0.25">
      <c r="A19" s="60" t="s">
        <v>107</v>
      </c>
      <c r="B19" s="285"/>
      <c r="C19" s="286"/>
      <c r="D19" s="286"/>
      <c r="E19" s="286"/>
      <c r="F19" s="287"/>
      <c r="G19" s="288"/>
      <c r="H19" s="286"/>
      <c r="I19" s="286"/>
      <c r="J19" s="286"/>
      <c r="K19" s="289"/>
    </row>
    <row r="20" spans="1:11" ht="146.25" customHeight="1" thickBot="1" x14ac:dyDescent="0.25">
      <c r="A20" s="60" t="s">
        <v>108</v>
      </c>
      <c r="B20" s="290" t="s">
        <v>411</v>
      </c>
      <c r="C20" s="291"/>
      <c r="D20" s="291"/>
      <c r="E20" s="291"/>
      <c r="F20" s="292"/>
      <c r="G20" s="283"/>
      <c r="H20" s="281"/>
      <c r="I20" s="281"/>
      <c r="J20" s="281"/>
      <c r="K20" s="281"/>
    </row>
    <row r="21" spans="1:11" ht="146.25" customHeight="1" thickBot="1" x14ac:dyDescent="0.25">
      <c r="A21" s="60" t="s">
        <v>208</v>
      </c>
      <c r="B21" s="375" t="s">
        <v>394</v>
      </c>
      <c r="C21" s="376"/>
      <c r="D21" s="376"/>
      <c r="E21" s="376"/>
      <c r="F21" s="377"/>
      <c r="G21" s="283" t="s">
        <v>395</v>
      </c>
      <c r="H21" s="281"/>
      <c r="I21" s="281"/>
      <c r="J21" s="281"/>
      <c r="K21" s="284"/>
    </row>
    <row r="22" spans="1:11" ht="180" customHeight="1" thickBot="1" x14ac:dyDescent="0.25">
      <c r="A22" s="60" t="s">
        <v>209</v>
      </c>
      <c r="B22" s="285" t="s">
        <v>414</v>
      </c>
      <c r="C22" s="286"/>
      <c r="D22" s="286"/>
      <c r="E22" s="286"/>
      <c r="F22" s="287"/>
      <c r="G22" s="288" t="s">
        <v>415</v>
      </c>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386</v>
      </c>
      <c r="B27" s="296"/>
      <c r="C27" s="296"/>
      <c r="D27" s="296"/>
      <c r="E27" s="297"/>
      <c r="F27" s="298" t="s">
        <v>387</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93" customHeight="1" thickBot="1" x14ac:dyDescent="0.25">
      <c r="A32" s="314" t="s">
        <v>381</v>
      </c>
      <c r="B32" s="315"/>
      <c r="C32" s="315"/>
      <c r="D32" s="315"/>
      <c r="E32" s="315"/>
      <c r="F32" s="316" t="s">
        <v>383</v>
      </c>
      <c r="G32" s="317"/>
      <c r="H32" s="317"/>
      <c r="I32" s="317"/>
      <c r="J32" s="318"/>
    </row>
    <row r="33" spans="1:15" ht="93" customHeight="1" thickBot="1" x14ac:dyDescent="0.25">
      <c r="A33" s="262" t="s">
        <v>268</v>
      </c>
      <c r="B33" s="263"/>
      <c r="C33" s="263"/>
      <c r="D33" s="263"/>
      <c r="E33" s="264"/>
      <c r="F33" s="265" t="s">
        <v>269</v>
      </c>
      <c r="G33" s="266"/>
      <c r="H33" s="266"/>
      <c r="I33" s="266"/>
      <c r="J33" s="267"/>
    </row>
    <row r="34" spans="1:15" ht="93" customHeight="1" thickBot="1" x14ac:dyDescent="0.25">
      <c r="A34" s="262" t="s">
        <v>272</v>
      </c>
      <c r="B34" s="263"/>
      <c r="C34" s="263"/>
      <c r="D34" s="263"/>
      <c r="E34" s="264"/>
      <c r="F34" s="265" t="s">
        <v>379</v>
      </c>
      <c r="G34" s="266"/>
      <c r="H34" s="266"/>
      <c r="I34" s="266"/>
      <c r="J34" s="267"/>
    </row>
    <row r="35" spans="1:15" ht="93" customHeight="1" thickBot="1" x14ac:dyDescent="0.25">
      <c r="A35" s="262" t="s">
        <v>270</v>
      </c>
      <c r="B35" s="263"/>
      <c r="C35" s="263"/>
      <c r="D35" s="263"/>
      <c r="E35" s="264"/>
      <c r="F35" s="265" t="s">
        <v>382</v>
      </c>
      <c r="G35" s="266"/>
      <c r="H35" s="266"/>
      <c r="I35" s="266"/>
      <c r="J35" s="267"/>
    </row>
    <row r="36" spans="1:15" ht="93" customHeight="1" thickBot="1" x14ac:dyDescent="0.25">
      <c r="A36" s="262" t="s">
        <v>384</v>
      </c>
      <c r="B36" s="296"/>
      <c r="C36" s="296"/>
      <c r="D36" s="296"/>
      <c r="E36" s="297"/>
      <c r="F36" s="265" t="s">
        <v>385</v>
      </c>
      <c r="G36" s="383"/>
      <c r="H36" s="383"/>
      <c r="I36" s="383"/>
      <c r="J36" s="384"/>
    </row>
    <row r="37" spans="1:15" ht="135" customHeight="1" x14ac:dyDescent="0.2">
      <c r="A37" s="314" t="s">
        <v>378</v>
      </c>
      <c r="B37" s="315"/>
      <c r="C37" s="315"/>
      <c r="D37" s="315"/>
      <c r="E37" s="315"/>
      <c r="F37" s="316" t="s">
        <v>377</v>
      </c>
      <c r="G37" s="317"/>
      <c r="H37" s="317"/>
      <c r="I37" s="317"/>
      <c r="J37" s="318"/>
    </row>
    <row r="39" spans="1:15" ht="13.5" thickBot="1" x14ac:dyDescent="0.25">
      <c r="A39" s="1" t="s">
        <v>17</v>
      </c>
    </row>
    <row r="40" spans="1:15" ht="13.5" thickBot="1" x14ac:dyDescent="0.25">
      <c r="A40" s="293" t="s">
        <v>18</v>
      </c>
      <c r="B40" s="294"/>
      <c r="C40" s="294"/>
      <c r="D40" s="294"/>
      <c r="E40" s="294"/>
      <c r="F40" s="319" t="s">
        <v>19</v>
      </c>
      <c r="G40" s="320"/>
      <c r="H40" s="319" t="s">
        <v>20</v>
      </c>
      <c r="I40" s="294"/>
      <c r="J40" s="294"/>
      <c r="K40" s="294"/>
      <c r="L40" s="295"/>
    </row>
    <row r="41" spans="1:15" ht="42.75" customHeight="1" thickBot="1" x14ac:dyDescent="0.25">
      <c r="A41" s="308" t="s">
        <v>347</v>
      </c>
      <c r="B41" s="309"/>
      <c r="C41" s="309"/>
      <c r="D41" s="309"/>
      <c r="E41" s="309"/>
      <c r="F41" s="334" t="s">
        <v>348</v>
      </c>
      <c r="G41" s="335"/>
      <c r="H41" s="298" t="s">
        <v>374</v>
      </c>
      <c r="I41" s="263"/>
      <c r="J41" s="263"/>
      <c r="K41" s="263"/>
      <c r="L41" s="322"/>
    </row>
    <row r="42" spans="1:15" ht="57" customHeight="1" thickBot="1" x14ac:dyDescent="0.25">
      <c r="A42" s="308"/>
      <c r="B42" s="309"/>
      <c r="C42" s="309"/>
      <c r="D42" s="309"/>
      <c r="E42" s="309"/>
      <c r="F42" s="334"/>
      <c r="G42" s="335"/>
      <c r="H42" s="298"/>
      <c r="I42" s="263"/>
      <c r="J42" s="263"/>
      <c r="K42" s="263"/>
      <c r="L42" s="322"/>
    </row>
    <row r="43" spans="1:15" ht="25.5" customHeight="1" thickBot="1" x14ac:dyDescent="0.25">
      <c r="A43" s="262"/>
      <c r="B43" s="378"/>
      <c r="C43" s="378"/>
      <c r="D43" s="378"/>
      <c r="E43" s="379"/>
      <c r="F43" s="380"/>
      <c r="G43" s="381"/>
      <c r="H43" s="298"/>
      <c r="I43" s="378"/>
      <c r="J43" s="378"/>
      <c r="K43" s="378"/>
      <c r="L43" s="382"/>
    </row>
    <row r="44" spans="1:15" ht="24.75" customHeight="1" x14ac:dyDescent="0.2">
      <c r="O44" s="32"/>
    </row>
    <row r="45" spans="1:15" ht="24.75" customHeight="1" thickBot="1" x14ac:dyDescent="0.25">
      <c r="A45" s="1" t="s">
        <v>21</v>
      </c>
      <c r="O45" s="32"/>
    </row>
    <row r="46" spans="1:15" ht="24.75" customHeight="1" thickBot="1" x14ac:dyDescent="0.25">
      <c r="A46" s="293" t="s">
        <v>18</v>
      </c>
      <c r="B46" s="294"/>
      <c r="C46" s="294"/>
      <c r="D46" s="294"/>
      <c r="E46" s="294"/>
      <c r="F46" s="319" t="s">
        <v>19</v>
      </c>
      <c r="G46" s="320"/>
      <c r="H46" s="323" t="s">
        <v>67</v>
      </c>
      <c r="I46" s="324"/>
      <c r="J46" s="324"/>
      <c r="K46" s="324"/>
      <c r="L46" s="325"/>
      <c r="O46" s="32"/>
    </row>
    <row r="47" spans="1:15" ht="115.5" customHeight="1" thickBot="1" x14ac:dyDescent="0.25">
      <c r="A47" s="332" t="s">
        <v>402</v>
      </c>
      <c r="B47" s="333"/>
      <c r="C47" s="333"/>
      <c r="D47" s="333"/>
      <c r="E47" s="333"/>
      <c r="F47" s="385" t="s">
        <v>405</v>
      </c>
      <c r="G47" s="386"/>
      <c r="H47" s="298" t="s">
        <v>342</v>
      </c>
      <c r="I47" s="296"/>
      <c r="J47" s="296"/>
      <c r="K47" s="296"/>
      <c r="L47" s="299"/>
    </row>
    <row r="48" spans="1:15" ht="115.5" customHeight="1" thickBot="1" x14ac:dyDescent="0.25">
      <c r="A48" s="336" t="s">
        <v>403</v>
      </c>
      <c r="B48" s="337"/>
      <c r="C48" s="337"/>
      <c r="D48" s="337"/>
      <c r="E48" s="337"/>
      <c r="F48" s="387" t="s">
        <v>406</v>
      </c>
      <c r="G48" s="388"/>
      <c r="H48" s="340"/>
      <c r="I48" s="341"/>
      <c r="J48" s="341"/>
      <c r="K48" s="341"/>
      <c r="L48" s="342"/>
    </row>
    <row r="49" spans="1:15" ht="115.5" customHeight="1" thickBot="1" x14ac:dyDescent="0.25">
      <c r="A49" s="308" t="s">
        <v>404</v>
      </c>
      <c r="B49" s="309"/>
      <c r="C49" s="309"/>
      <c r="D49" s="309"/>
      <c r="E49" s="309"/>
      <c r="F49" s="389" t="s">
        <v>407</v>
      </c>
      <c r="G49" s="390"/>
      <c r="H49" s="369"/>
      <c r="I49" s="312"/>
      <c r="J49" s="312"/>
      <c r="K49" s="312"/>
      <c r="L49" s="313"/>
    </row>
    <row r="51" spans="1:15" ht="24.75" customHeight="1" thickBot="1" x14ac:dyDescent="0.25">
      <c r="A51" s="50" t="s">
        <v>62</v>
      </c>
      <c r="O51" s="32"/>
    </row>
    <row r="52" spans="1:15" ht="24.75" customHeight="1" thickBot="1" x14ac:dyDescent="0.25">
      <c r="A52" s="268" t="s">
        <v>18</v>
      </c>
      <c r="B52" s="269"/>
      <c r="C52" s="269"/>
      <c r="D52" s="269"/>
      <c r="E52" s="269"/>
      <c r="F52" s="326" t="s">
        <v>63</v>
      </c>
      <c r="G52" s="327"/>
      <c r="H52" s="328" t="s">
        <v>64</v>
      </c>
      <c r="I52" s="329"/>
      <c r="J52" s="326" t="s">
        <v>65</v>
      </c>
      <c r="K52" s="330"/>
      <c r="L52" s="330"/>
      <c r="M52" s="330"/>
      <c r="N52" s="331"/>
      <c r="O52" s="32"/>
    </row>
    <row r="53" spans="1:15" ht="66.75" customHeight="1" thickBot="1" x14ac:dyDescent="0.25">
      <c r="A53" s="353" t="s">
        <v>314</v>
      </c>
      <c r="B53" s="354"/>
      <c r="C53" s="354"/>
      <c r="D53" s="354"/>
      <c r="E53" s="354"/>
      <c r="F53" s="355" t="s">
        <v>315</v>
      </c>
      <c r="G53" s="356"/>
      <c r="H53" s="357" t="s">
        <v>376</v>
      </c>
      <c r="I53" s="358"/>
      <c r="J53" s="359" t="s">
        <v>344</v>
      </c>
      <c r="K53" s="360"/>
      <c r="L53" s="360"/>
      <c r="M53" s="360"/>
      <c r="N53" s="361"/>
    </row>
    <row r="54" spans="1:15" ht="24.75" customHeight="1" thickBot="1" x14ac:dyDescent="0.25">
      <c r="A54" s="336" t="s">
        <v>402</v>
      </c>
      <c r="B54" s="337"/>
      <c r="C54" s="337"/>
      <c r="D54" s="337"/>
      <c r="E54" s="337"/>
      <c r="F54" s="338" t="s">
        <v>405</v>
      </c>
      <c r="G54" s="339"/>
      <c r="H54" s="364"/>
      <c r="I54" s="365"/>
      <c r="J54" s="340" t="s">
        <v>409</v>
      </c>
      <c r="K54" s="367"/>
      <c r="L54" s="367"/>
      <c r="M54" s="367"/>
      <c r="N54" s="368"/>
    </row>
    <row r="55" spans="1:15" ht="13.5" thickBot="1" x14ac:dyDescent="0.25">
      <c r="A55" s="50" t="s">
        <v>66</v>
      </c>
    </row>
    <row r="56" spans="1:15" ht="13.5" thickBot="1" x14ac:dyDescent="0.25">
      <c r="A56" s="293" t="s">
        <v>18</v>
      </c>
      <c r="B56" s="294"/>
      <c r="C56" s="294"/>
      <c r="D56" s="294"/>
      <c r="E56" s="294"/>
      <c r="F56" s="319" t="s">
        <v>19</v>
      </c>
      <c r="G56" s="320"/>
      <c r="H56" s="319" t="s">
        <v>20</v>
      </c>
      <c r="I56" s="294"/>
      <c r="J56" s="294"/>
      <c r="K56" s="294"/>
      <c r="L56" s="295"/>
    </row>
    <row r="57" spans="1:15" ht="13.5" customHeight="1" thickBot="1" x14ac:dyDescent="0.25">
      <c r="A57" s="314"/>
      <c r="B57" s="315"/>
      <c r="C57" s="315"/>
      <c r="D57" s="315"/>
      <c r="E57" s="315"/>
      <c r="F57" s="343"/>
      <c r="G57" s="344"/>
      <c r="H57" s="347"/>
      <c r="I57" s="345"/>
      <c r="J57" s="345"/>
      <c r="K57" s="345"/>
      <c r="L57" s="346"/>
    </row>
    <row r="58" spans="1:15" ht="32.25" customHeight="1" thickBot="1" x14ac:dyDescent="0.25">
      <c r="A58" s="314"/>
      <c r="B58" s="315"/>
      <c r="C58" s="315"/>
      <c r="D58" s="315"/>
      <c r="E58" s="315"/>
      <c r="F58" s="343"/>
      <c r="G58" s="344"/>
      <c r="H58" s="316"/>
      <c r="I58" s="345"/>
      <c r="J58" s="345"/>
      <c r="K58" s="345"/>
      <c r="L58" s="346"/>
    </row>
    <row r="59" spans="1:15" x14ac:dyDescent="0.2">
      <c r="A59" s="314"/>
      <c r="B59" s="315"/>
      <c r="C59" s="315"/>
      <c r="D59" s="315"/>
      <c r="E59" s="315"/>
      <c r="F59" s="343"/>
      <c r="G59" s="344"/>
      <c r="H59" s="316"/>
      <c r="I59" s="345"/>
      <c r="J59" s="345"/>
      <c r="K59" s="345"/>
      <c r="L59" s="346"/>
    </row>
  </sheetData>
  <mergeCells count="98">
    <mergeCell ref="A59:E59"/>
    <mergeCell ref="F59:G59"/>
    <mergeCell ref="H59:L59"/>
    <mergeCell ref="A57:E57"/>
    <mergeCell ref="F57:G57"/>
    <mergeCell ref="H57:L57"/>
    <mergeCell ref="A58:E58"/>
    <mergeCell ref="F58:G58"/>
    <mergeCell ref="H58:L58"/>
    <mergeCell ref="A54:E54"/>
    <mergeCell ref="F54:G54"/>
    <mergeCell ref="H54:I54"/>
    <mergeCell ref="J54:N54"/>
    <mergeCell ref="A56:E56"/>
    <mergeCell ref="F56:G56"/>
    <mergeCell ref="H56:L56"/>
    <mergeCell ref="A52:E52"/>
    <mergeCell ref="F52:G52"/>
    <mergeCell ref="H52:I52"/>
    <mergeCell ref="J52:N52"/>
    <mergeCell ref="A53:E53"/>
    <mergeCell ref="F53:G53"/>
    <mergeCell ref="H53:I53"/>
    <mergeCell ref="J53:N53"/>
    <mergeCell ref="A48:E48"/>
    <mergeCell ref="F48:G48"/>
    <mergeCell ref="H48:L48"/>
    <mergeCell ref="A49:E49"/>
    <mergeCell ref="F49:G49"/>
    <mergeCell ref="H49:L49"/>
    <mergeCell ref="A46:E46"/>
    <mergeCell ref="F46:G46"/>
    <mergeCell ref="H46:L46"/>
    <mergeCell ref="A47:E47"/>
    <mergeCell ref="F47:G47"/>
    <mergeCell ref="H47:L47"/>
    <mergeCell ref="A42:E42"/>
    <mergeCell ref="F42:G42"/>
    <mergeCell ref="H42:L42"/>
    <mergeCell ref="A43:E43"/>
    <mergeCell ref="F43:G43"/>
    <mergeCell ref="H43:L43"/>
    <mergeCell ref="A41:E41"/>
    <mergeCell ref="F41:G41"/>
    <mergeCell ref="H41:L41"/>
    <mergeCell ref="A34:E34"/>
    <mergeCell ref="F34:J34"/>
    <mergeCell ref="A35:E35"/>
    <mergeCell ref="F35:J35"/>
    <mergeCell ref="A36:E36"/>
    <mergeCell ref="F36:J36"/>
    <mergeCell ref="A37:E37"/>
    <mergeCell ref="F37:J37"/>
    <mergeCell ref="A40:E40"/>
    <mergeCell ref="F40:G40"/>
    <mergeCell ref="H40:L40"/>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36" workbookViewId="0">
      <selection activeCell="H54" sqref="H54:I54"/>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t="s">
        <v>435</v>
      </c>
      <c r="C9" s="272"/>
      <c r="D9" s="272"/>
      <c r="E9" s="272"/>
      <c r="F9" s="272"/>
      <c r="G9" s="273"/>
      <c r="H9" s="273"/>
      <c r="I9" s="273"/>
      <c r="J9" s="273"/>
      <c r="K9" s="274"/>
      <c r="N9" s="142"/>
    </row>
    <row r="10" spans="1:14" ht="217.5" customHeight="1" x14ac:dyDescent="0.2">
      <c r="A10" s="58" t="s">
        <v>50</v>
      </c>
      <c r="B10" s="275"/>
      <c r="C10" s="276"/>
      <c r="D10" s="276"/>
      <c r="E10" s="276"/>
      <c r="F10" s="276"/>
      <c r="G10" s="277"/>
      <c r="H10" s="277"/>
      <c r="I10" s="277"/>
      <c r="J10" s="277"/>
      <c r="K10" s="278"/>
    </row>
    <row r="11" spans="1:14" ht="143.25" customHeight="1" x14ac:dyDescent="0.2">
      <c r="A11" s="58" t="s">
        <v>48</v>
      </c>
      <c r="B11" s="275" t="s">
        <v>434</v>
      </c>
      <c r="C11" s="276"/>
      <c r="D11" s="276"/>
      <c r="E11" s="276"/>
      <c r="F11" s="276"/>
      <c r="G11" s="277"/>
      <c r="H11" s="277"/>
      <c r="I11" s="277"/>
      <c r="J11" s="277"/>
      <c r="K11" s="278"/>
    </row>
    <row r="12" spans="1:14" ht="241.5" customHeight="1" x14ac:dyDescent="0.2">
      <c r="A12" s="58" t="s">
        <v>58</v>
      </c>
      <c r="B12" s="275" t="s">
        <v>429</v>
      </c>
      <c r="C12" s="276"/>
      <c r="D12" s="276"/>
      <c r="E12" s="276"/>
      <c r="F12" s="276"/>
      <c r="G12" s="277"/>
      <c r="H12" s="277"/>
      <c r="I12" s="277"/>
      <c r="J12" s="277"/>
      <c r="K12" s="278"/>
    </row>
    <row r="13" spans="1:14" ht="351.75" customHeight="1" x14ac:dyDescent="0.2">
      <c r="A13" s="58" t="s">
        <v>57</v>
      </c>
      <c r="B13" s="275"/>
      <c r="C13" s="276"/>
      <c r="D13" s="276"/>
      <c r="E13" s="276"/>
      <c r="F13" s="276"/>
      <c r="G13" s="276" t="s">
        <v>450</v>
      </c>
      <c r="H13" s="276"/>
      <c r="I13" s="276"/>
      <c r="J13" s="276"/>
      <c r="K13" s="279"/>
    </row>
    <row r="14" spans="1:14" ht="309" customHeight="1" x14ac:dyDescent="0.2">
      <c r="A14" s="58" t="s">
        <v>246</v>
      </c>
      <c r="B14" s="373" t="s">
        <v>433</v>
      </c>
      <c r="C14" s="371"/>
      <c r="D14" s="371"/>
      <c r="E14" s="371"/>
      <c r="F14" s="374"/>
      <c r="G14" s="370"/>
      <c r="H14" s="371"/>
      <c r="I14" s="371"/>
      <c r="J14" s="371"/>
      <c r="K14" s="372"/>
    </row>
    <row r="15" spans="1:14" ht="129.75" customHeight="1" x14ac:dyDescent="0.2">
      <c r="A15" s="58" t="s">
        <v>72</v>
      </c>
      <c r="B15" s="275" t="s">
        <v>430</v>
      </c>
      <c r="C15" s="276"/>
      <c r="D15" s="276"/>
      <c r="E15" s="276"/>
      <c r="F15" s="276"/>
      <c r="G15" s="276"/>
      <c r="H15" s="276"/>
      <c r="I15" s="276"/>
      <c r="J15" s="276"/>
      <c r="K15" s="279"/>
    </row>
    <row r="16" spans="1:14" ht="176.25" customHeight="1" x14ac:dyDescent="0.2">
      <c r="A16" s="59" t="s">
        <v>68</v>
      </c>
      <c r="B16" s="275"/>
      <c r="C16" s="276"/>
      <c r="D16" s="276"/>
      <c r="E16" s="276"/>
      <c r="F16" s="276"/>
      <c r="G16" s="276"/>
      <c r="H16" s="276"/>
      <c r="I16" s="276"/>
      <c r="J16" s="276"/>
      <c r="K16" s="279"/>
    </row>
    <row r="17" spans="1:11" ht="212.25" customHeight="1" x14ac:dyDescent="0.2">
      <c r="A17" s="58" t="s">
        <v>1</v>
      </c>
      <c r="B17" s="275" t="s">
        <v>436</v>
      </c>
      <c r="C17" s="276"/>
      <c r="D17" s="276"/>
      <c r="E17" s="276"/>
      <c r="F17" s="276"/>
      <c r="G17" s="276"/>
      <c r="H17" s="276"/>
      <c r="I17" s="276"/>
      <c r="J17" s="276"/>
      <c r="K17" s="279"/>
    </row>
    <row r="18" spans="1:11" ht="409.5" customHeight="1" x14ac:dyDescent="0.2">
      <c r="A18" s="58" t="s">
        <v>49</v>
      </c>
      <c r="B18" s="275" t="s">
        <v>432</v>
      </c>
      <c r="C18" s="276"/>
      <c r="D18" s="276"/>
      <c r="E18" s="276"/>
      <c r="F18" s="276"/>
      <c r="G18" s="276" t="s">
        <v>431</v>
      </c>
      <c r="H18" s="276"/>
      <c r="I18" s="276"/>
      <c r="J18" s="276"/>
      <c r="K18" s="279"/>
    </row>
    <row r="19" spans="1:11" ht="248.25" customHeight="1" thickBot="1" x14ac:dyDescent="0.25">
      <c r="A19" s="60" t="s">
        <v>107</v>
      </c>
      <c r="B19" s="285"/>
      <c r="C19" s="286"/>
      <c r="D19" s="286"/>
      <c r="E19" s="286"/>
      <c r="F19" s="287"/>
      <c r="G19" s="288"/>
      <c r="H19" s="286"/>
      <c r="I19" s="286"/>
      <c r="J19" s="286"/>
      <c r="K19" s="289"/>
    </row>
    <row r="20" spans="1:11" ht="146.25" customHeight="1" thickBot="1" x14ac:dyDescent="0.25">
      <c r="A20" s="60" t="s">
        <v>108</v>
      </c>
      <c r="B20" s="290" t="s">
        <v>445</v>
      </c>
      <c r="C20" s="291"/>
      <c r="D20" s="291"/>
      <c r="E20" s="291"/>
      <c r="F20" s="292"/>
      <c r="G20" s="283"/>
      <c r="H20" s="281"/>
      <c r="I20" s="281"/>
      <c r="J20" s="281"/>
      <c r="K20" s="281"/>
    </row>
    <row r="21" spans="1:11" ht="146.25" customHeight="1" thickBot="1" x14ac:dyDescent="0.25">
      <c r="A21" s="60" t="s">
        <v>208</v>
      </c>
      <c r="B21" s="375" t="s">
        <v>437</v>
      </c>
      <c r="C21" s="376"/>
      <c r="D21" s="376"/>
      <c r="E21" s="376"/>
      <c r="F21" s="377"/>
      <c r="G21" s="283"/>
      <c r="H21" s="281"/>
      <c r="I21" s="281"/>
      <c r="J21" s="281"/>
      <c r="K21" s="284"/>
    </row>
    <row r="22" spans="1:11" ht="180" customHeight="1" thickBot="1" x14ac:dyDescent="0.25">
      <c r="A22" s="60" t="s">
        <v>209</v>
      </c>
      <c r="B22" s="285"/>
      <c r="C22" s="286"/>
      <c r="D22" s="286"/>
      <c r="E22" s="286"/>
      <c r="F22" s="287"/>
      <c r="G22" s="288"/>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386</v>
      </c>
      <c r="B27" s="296"/>
      <c r="C27" s="296"/>
      <c r="D27" s="296"/>
      <c r="E27" s="297"/>
      <c r="F27" s="298" t="s">
        <v>387</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93" customHeight="1" thickBot="1" x14ac:dyDescent="0.25">
      <c r="A32" s="262" t="s">
        <v>268</v>
      </c>
      <c r="B32" s="263"/>
      <c r="C32" s="263"/>
      <c r="D32" s="263"/>
      <c r="E32" s="264"/>
      <c r="F32" s="265" t="s">
        <v>269</v>
      </c>
      <c r="G32" s="266"/>
      <c r="H32" s="266"/>
      <c r="I32" s="266"/>
      <c r="J32" s="267"/>
    </row>
    <row r="33" spans="1:15" ht="118.5" customHeight="1" thickBot="1" x14ac:dyDescent="0.25">
      <c r="A33" s="262" t="s">
        <v>272</v>
      </c>
      <c r="B33" s="263"/>
      <c r="C33" s="263"/>
      <c r="D33" s="263"/>
      <c r="E33" s="264"/>
      <c r="F33" s="265" t="s">
        <v>439</v>
      </c>
      <c r="G33" s="266"/>
      <c r="H33" s="266"/>
      <c r="I33" s="266"/>
      <c r="J33" s="267"/>
    </row>
    <row r="34" spans="1:15" ht="93" customHeight="1" thickBot="1" x14ac:dyDescent="0.25">
      <c r="A34" s="262" t="s">
        <v>270</v>
      </c>
      <c r="B34" s="263"/>
      <c r="C34" s="263"/>
      <c r="D34" s="263"/>
      <c r="E34" s="264"/>
      <c r="F34" s="265" t="s">
        <v>382</v>
      </c>
      <c r="G34" s="266"/>
      <c r="H34" s="266"/>
      <c r="I34" s="266"/>
      <c r="J34" s="267"/>
    </row>
    <row r="35" spans="1:15" ht="93" customHeight="1" thickBot="1" x14ac:dyDescent="0.25">
      <c r="A35" s="262" t="s">
        <v>384</v>
      </c>
      <c r="B35" s="296"/>
      <c r="C35" s="296"/>
      <c r="D35" s="296"/>
      <c r="E35" s="297"/>
      <c r="F35" s="265" t="s">
        <v>385</v>
      </c>
      <c r="G35" s="383"/>
      <c r="H35" s="383"/>
      <c r="I35" s="383"/>
      <c r="J35" s="384"/>
    </row>
    <row r="36" spans="1:15" ht="135" customHeight="1" x14ac:dyDescent="0.2">
      <c r="A36" s="314" t="s">
        <v>378</v>
      </c>
      <c r="B36" s="315"/>
      <c r="C36" s="315"/>
      <c r="D36" s="315"/>
      <c r="E36" s="315"/>
      <c r="F36" s="316" t="s">
        <v>377</v>
      </c>
      <c r="G36" s="317"/>
      <c r="H36" s="317"/>
      <c r="I36" s="317"/>
      <c r="J36" s="318"/>
    </row>
    <row r="38" spans="1:15" ht="13.5" thickBot="1" x14ac:dyDescent="0.25">
      <c r="A38" s="1" t="s">
        <v>17</v>
      </c>
    </row>
    <row r="39" spans="1:15" ht="13.5" thickBot="1" x14ac:dyDescent="0.25">
      <c r="A39" s="293" t="s">
        <v>18</v>
      </c>
      <c r="B39" s="294"/>
      <c r="C39" s="294"/>
      <c r="D39" s="294"/>
      <c r="E39" s="294"/>
      <c r="F39" s="319" t="s">
        <v>19</v>
      </c>
      <c r="G39" s="320"/>
      <c r="H39" s="319" t="s">
        <v>20</v>
      </c>
      <c r="I39" s="294"/>
      <c r="J39" s="294"/>
      <c r="K39" s="294"/>
      <c r="L39" s="295"/>
    </row>
    <row r="40" spans="1:15" ht="115.5" customHeight="1" thickBot="1" x14ac:dyDescent="0.25">
      <c r="A40" s="332" t="s">
        <v>402</v>
      </c>
      <c r="B40" s="333"/>
      <c r="C40" s="333"/>
      <c r="D40" s="333"/>
      <c r="E40" s="333"/>
      <c r="F40" s="385" t="s">
        <v>405</v>
      </c>
      <c r="G40" s="386"/>
      <c r="H40" s="298" t="s">
        <v>444</v>
      </c>
      <c r="I40" s="296"/>
      <c r="J40" s="296"/>
      <c r="K40" s="296"/>
      <c r="L40" s="299"/>
    </row>
    <row r="41" spans="1:15" ht="115.5" customHeight="1" thickBot="1" x14ac:dyDescent="0.25">
      <c r="A41" s="336" t="s">
        <v>403</v>
      </c>
      <c r="B41" s="337"/>
      <c r="C41" s="337"/>
      <c r="D41" s="337"/>
      <c r="E41" s="337"/>
      <c r="F41" s="387" t="s">
        <v>406</v>
      </c>
      <c r="G41" s="388"/>
      <c r="H41" s="340"/>
      <c r="I41" s="341"/>
      <c r="J41" s="341"/>
      <c r="K41" s="341"/>
      <c r="L41" s="342"/>
    </row>
    <row r="42" spans="1:15" ht="115.5" customHeight="1" thickBot="1" x14ac:dyDescent="0.25">
      <c r="A42" s="308" t="s">
        <v>404</v>
      </c>
      <c r="B42" s="309"/>
      <c r="C42" s="309"/>
      <c r="D42" s="309"/>
      <c r="E42" s="309"/>
      <c r="F42" s="389" t="s">
        <v>407</v>
      </c>
      <c r="G42" s="390"/>
      <c r="H42" s="369"/>
      <c r="I42" s="312"/>
      <c r="J42" s="312"/>
      <c r="K42" s="312"/>
      <c r="L42" s="313"/>
    </row>
    <row r="43" spans="1:15" ht="24.75" customHeight="1" x14ac:dyDescent="0.2">
      <c r="O43" s="32"/>
    </row>
    <row r="44" spans="1:15" ht="24.75" customHeight="1" thickBot="1" x14ac:dyDescent="0.25">
      <c r="A44" s="1" t="s">
        <v>21</v>
      </c>
      <c r="O44" s="32"/>
    </row>
    <row r="45" spans="1:15" ht="24.75" customHeight="1" thickBot="1" x14ac:dyDescent="0.25">
      <c r="A45" s="293" t="s">
        <v>18</v>
      </c>
      <c r="B45" s="294"/>
      <c r="C45" s="294"/>
      <c r="D45" s="294"/>
      <c r="E45" s="294"/>
      <c r="F45" s="319" t="s">
        <v>19</v>
      </c>
      <c r="G45" s="320"/>
      <c r="H45" s="323" t="s">
        <v>67</v>
      </c>
      <c r="I45" s="324"/>
      <c r="J45" s="324"/>
      <c r="K45" s="324"/>
      <c r="L45" s="325"/>
      <c r="O45" s="32"/>
    </row>
    <row r="46" spans="1:15" ht="115.5" customHeight="1" thickBot="1" x14ac:dyDescent="0.25">
      <c r="A46" s="332"/>
      <c r="B46" s="333"/>
      <c r="C46" s="333"/>
      <c r="D46" s="333"/>
      <c r="E46" s="333"/>
      <c r="F46" s="385"/>
      <c r="G46" s="386"/>
      <c r="H46" s="298"/>
      <c r="I46" s="296"/>
      <c r="J46" s="296"/>
      <c r="K46" s="296"/>
      <c r="L46" s="299"/>
    </row>
    <row r="47" spans="1:15" ht="115.5" customHeight="1" thickBot="1" x14ac:dyDescent="0.25">
      <c r="A47" s="336"/>
      <c r="B47" s="337"/>
      <c r="C47" s="337"/>
      <c r="D47" s="337"/>
      <c r="E47" s="337"/>
      <c r="F47" s="387"/>
      <c r="G47" s="388"/>
      <c r="H47" s="340"/>
      <c r="I47" s="341"/>
      <c r="J47" s="341"/>
      <c r="K47" s="341"/>
      <c r="L47" s="342"/>
    </row>
    <row r="48" spans="1:15" ht="115.5" customHeight="1" thickBot="1" x14ac:dyDescent="0.25">
      <c r="A48" s="308"/>
      <c r="B48" s="309"/>
      <c r="C48" s="309"/>
      <c r="D48" s="309"/>
      <c r="E48" s="309"/>
      <c r="F48" s="389"/>
      <c r="G48" s="390"/>
      <c r="H48" s="369"/>
      <c r="I48" s="312"/>
      <c r="J48" s="312"/>
      <c r="K48" s="312"/>
      <c r="L48" s="313"/>
    </row>
    <row r="50" spans="1:15" ht="24.75" customHeight="1" thickBot="1" x14ac:dyDescent="0.25">
      <c r="A50" s="50" t="s">
        <v>62</v>
      </c>
      <c r="O50" s="32"/>
    </row>
    <row r="51" spans="1:15" ht="24.75" customHeight="1" thickBot="1" x14ac:dyDescent="0.25">
      <c r="A51" s="268" t="s">
        <v>18</v>
      </c>
      <c r="B51" s="269"/>
      <c r="C51" s="269"/>
      <c r="D51" s="269"/>
      <c r="E51" s="269"/>
      <c r="F51" s="326" t="s">
        <v>63</v>
      </c>
      <c r="G51" s="327"/>
      <c r="H51" s="328" t="s">
        <v>64</v>
      </c>
      <c r="I51" s="329"/>
      <c r="J51" s="326" t="s">
        <v>65</v>
      </c>
      <c r="K51" s="330"/>
      <c r="L51" s="330"/>
      <c r="M51" s="330"/>
      <c r="N51" s="331"/>
      <c r="O51" s="32"/>
    </row>
    <row r="52" spans="1:15" ht="66.75" customHeight="1" thickBot="1" x14ac:dyDescent="0.25">
      <c r="A52" s="353" t="s">
        <v>314</v>
      </c>
      <c r="B52" s="354"/>
      <c r="C52" s="354"/>
      <c r="D52" s="354"/>
      <c r="E52" s="354"/>
      <c r="F52" s="355" t="s">
        <v>315</v>
      </c>
      <c r="G52" s="356"/>
      <c r="H52" s="357" t="s">
        <v>376</v>
      </c>
      <c r="I52" s="358"/>
      <c r="J52" s="359" t="s">
        <v>441</v>
      </c>
      <c r="K52" s="360"/>
      <c r="L52" s="360"/>
      <c r="M52" s="360"/>
      <c r="N52" s="361"/>
    </row>
    <row r="53" spans="1:15" ht="66.75" customHeight="1" thickBot="1" x14ac:dyDescent="0.25">
      <c r="A53" s="262" t="s">
        <v>402</v>
      </c>
      <c r="B53" s="263"/>
      <c r="C53" s="263"/>
      <c r="D53" s="263"/>
      <c r="E53" s="264"/>
      <c r="F53" s="380" t="s">
        <v>405</v>
      </c>
      <c r="G53" s="391"/>
      <c r="H53" s="392" t="s">
        <v>443</v>
      </c>
      <c r="I53" s="393"/>
      <c r="J53" s="298" t="s">
        <v>442</v>
      </c>
      <c r="K53" s="263"/>
      <c r="L53" s="263"/>
      <c r="M53" s="263"/>
      <c r="N53" s="322"/>
    </row>
    <row r="54" spans="1:15" ht="24.75" customHeight="1" thickBot="1" x14ac:dyDescent="0.25">
      <c r="A54" s="262" t="s">
        <v>403</v>
      </c>
      <c r="B54" s="263"/>
      <c r="C54" s="263"/>
      <c r="D54" s="263"/>
      <c r="E54" s="264"/>
      <c r="F54" s="380" t="s">
        <v>406</v>
      </c>
      <c r="G54" s="391"/>
      <c r="H54" s="392" t="s">
        <v>443</v>
      </c>
      <c r="I54" s="393"/>
      <c r="J54" s="298"/>
      <c r="K54" s="263"/>
      <c r="L54" s="263"/>
      <c r="M54" s="263"/>
      <c r="N54" s="322"/>
    </row>
    <row r="55" spans="1:15" ht="13.5" thickBot="1" x14ac:dyDescent="0.25">
      <c r="A55" s="50" t="s">
        <v>66</v>
      </c>
    </row>
    <row r="56" spans="1:15" ht="13.5" thickBot="1" x14ac:dyDescent="0.25">
      <c r="A56" s="293" t="s">
        <v>18</v>
      </c>
      <c r="B56" s="294"/>
      <c r="C56" s="294"/>
      <c r="D56" s="294"/>
      <c r="E56" s="294"/>
      <c r="F56" s="319" t="s">
        <v>19</v>
      </c>
      <c r="G56" s="320"/>
      <c r="H56" s="319" t="s">
        <v>20</v>
      </c>
      <c r="I56" s="294"/>
      <c r="J56" s="294"/>
      <c r="K56" s="294"/>
      <c r="L56" s="295"/>
    </row>
    <row r="57" spans="1:15" ht="13.5" customHeight="1" thickBot="1" x14ac:dyDescent="0.25">
      <c r="A57" s="314"/>
      <c r="B57" s="315"/>
      <c r="C57" s="315"/>
      <c r="D57" s="315"/>
      <c r="E57" s="315"/>
      <c r="F57" s="343"/>
      <c r="G57" s="344"/>
      <c r="H57" s="347"/>
      <c r="I57" s="345"/>
      <c r="J57" s="345"/>
      <c r="K57" s="345"/>
      <c r="L57" s="346"/>
    </row>
    <row r="58" spans="1:15" ht="32.25" customHeight="1" thickBot="1" x14ac:dyDescent="0.25">
      <c r="A58" s="314"/>
      <c r="B58" s="315"/>
      <c r="C58" s="315"/>
      <c r="D58" s="315"/>
      <c r="E58" s="315"/>
      <c r="F58" s="343"/>
      <c r="G58" s="344"/>
      <c r="H58" s="316"/>
      <c r="I58" s="345"/>
      <c r="J58" s="345"/>
      <c r="K58" s="345"/>
      <c r="L58" s="346"/>
    </row>
    <row r="59" spans="1:15" x14ac:dyDescent="0.2">
      <c r="A59" s="314"/>
      <c r="B59" s="315"/>
      <c r="C59" s="315"/>
      <c r="D59" s="315"/>
      <c r="E59" s="315"/>
      <c r="F59" s="343"/>
      <c r="G59" s="344"/>
      <c r="H59" s="316"/>
      <c r="I59" s="345"/>
      <c r="J59" s="345"/>
      <c r="K59" s="345"/>
      <c r="L59" s="346"/>
    </row>
  </sheetData>
  <mergeCells count="100">
    <mergeCell ref="A53:E53"/>
    <mergeCell ref="F53:G53"/>
    <mergeCell ref="H53:I53"/>
    <mergeCell ref="J53:N53"/>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31:E31"/>
    <mergeCell ref="F31:J31"/>
    <mergeCell ref="A32:E32"/>
    <mergeCell ref="F32:J32"/>
    <mergeCell ref="A26:E26"/>
    <mergeCell ref="F26:J26"/>
    <mergeCell ref="A27:E27"/>
    <mergeCell ref="F27:J27"/>
    <mergeCell ref="A28:E28"/>
    <mergeCell ref="F28:J28"/>
    <mergeCell ref="A40:E40"/>
    <mergeCell ref="F40:G40"/>
    <mergeCell ref="H40:L40"/>
    <mergeCell ref="A33:E33"/>
    <mergeCell ref="F33:J33"/>
    <mergeCell ref="A34:E34"/>
    <mergeCell ref="F34:J34"/>
    <mergeCell ref="A35:E35"/>
    <mergeCell ref="F35:J35"/>
    <mergeCell ref="A36:E36"/>
    <mergeCell ref="F36:J36"/>
    <mergeCell ref="A39:E39"/>
    <mergeCell ref="F39:G39"/>
    <mergeCell ref="H39:L39"/>
    <mergeCell ref="A41:E41"/>
    <mergeCell ref="F41:G41"/>
    <mergeCell ref="H41:L41"/>
    <mergeCell ref="A42:E42"/>
    <mergeCell ref="F42:G42"/>
    <mergeCell ref="H42:L42"/>
    <mergeCell ref="A45:E45"/>
    <mergeCell ref="F45:G45"/>
    <mergeCell ref="H45:L45"/>
    <mergeCell ref="A46:E46"/>
    <mergeCell ref="F46:G46"/>
    <mergeCell ref="H46:L46"/>
    <mergeCell ref="A47:E47"/>
    <mergeCell ref="F47:G47"/>
    <mergeCell ref="H47:L47"/>
    <mergeCell ref="A48:E48"/>
    <mergeCell ref="F48:G48"/>
    <mergeCell ref="H48:L48"/>
    <mergeCell ref="A51:E51"/>
    <mergeCell ref="F51:G51"/>
    <mergeCell ref="H51:I51"/>
    <mergeCell ref="J51:N51"/>
    <mergeCell ref="A52:E52"/>
    <mergeCell ref="F52:G52"/>
    <mergeCell ref="H52:I52"/>
    <mergeCell ref="J52:N52"/>
    <mergeCell ref="A54:E54"/>
    <mergeCell ref="F54:G54"/>
    <mergeCell ref="H54:I54"/>
    <mergeCell ref="J54:N54"/>
    <mergeCell ref="A56:E56"/>
    <mergeCell ref="F56:G56"/>
    <mergeCell ref="H56:L56"/>
    <mergeCell ref="A59:E59"/>
    <mergeCell ref="F59:G59"/>
    <mergeCell ref="H59:L59"/>
    <mergeCell ref="A57:E57"/>
    <mergeCell ref="F57:G57"/>
    <mergeCell ref="H57:L57"/>
    <mergeCell ref="A58:E58"/>
    <mergeCell ref="F58:G58"/>
    <mergeCell ref="H58:L58"/>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25" sqref="B25:F25"/>
    </sheetView>
  </sheetViews>
  <sheetFormatPr defaultColWidth="8.85546875" defaultRowHeight="12.75" x14ac:dyDescent="0.2"/>
  <sheetData>
    <row r="2" spans="2:13" ht="13.5" thickBot="1" x14ac:dyDescent="0.25">
      <c r="B2" s="1" t="s">
        <v>112</v>
      </c>
    </row>
    <row r="3" spans="2:13" ht="13.5" thickBot="1" x14ac:dyDescent="0.25">
      <c r="B3" s="293" t="s">
        <v>113</v>
      </c>
      <c r="C3" s="294"/>
      <c r="D3" s="294"/>
      <c r="E3" s="294"/>
      <c r="F3" s="294"/>
      <c r="G3" s="319" t="s">
        <v>114</v>
      </c>
      <c r="H3" s="320"/>
      <c r="I3" s="319" t="s">
        <v>111</v>
      </c>
      <c r="J3" s="294"/>
      <c r="K3" s="294"/>
      <c r="L3" s="294"/>
      <c r="M3" s="295"/>
    </row>
    <row r="4" spans="2:13" ht="13.5" thickBot="1" x14ac:dyDescent="0.25">
      <c r="B4" s="408"/>
      <c r="C4" s="383"/>
      <c r="D4" s="383"/>
      <c r="E4" s="383"/>
      <c r="F4" s="409"/>
      <c r="G4" s="410"/>
      <c r="H4" s="405"/>
      <c r="I4" s="406"/>
      <c r="J4" s="399"/>
      <c r="K4" s="399"/>
      <c r="L4" s="399"/>
      <c r="M4" s="407"/>
    </row>
    <row r="5" spans="2:13" ht="13.5" thickBot="1" x14ac:dyDescent="0.25">
      <c r="B5" s="394"/>
      <c r="C5" s="395"/>
      <c r="D5" s="395"/>
      <c r="E5" s="395"/>
      <c r="F5" s="395"/>
      <c r="G5" s="404"/>
      <c r="H5" s="405"/>
      <c r="I5" s="406"/>
      <c r="J5" s="399"/>
      <c r="K5" s="399"/>
      <c r="L5" s="399"/>
      <c r="M5" s="407"/>
    </row>
    <row r="6" spans="2:13" ht="13.5" thickBot="1" x14ac:dyDescent="0.25">
      <c r="B6" s="293" t="s">
        <v>115</v>
      </c>
      <c r="C6" s="294"/>
      <c r="D6" s="294"/>
      <c r="E6" s="294"/>
      <c r="F6" s="294"/>
      <c r="G6" s="319" t="s">
        <v>114</v>
      </c>
      <c r="H6" s="320"/>
      <c r="I6" s="319" t="s">
        <v>111</v>
      </c>
      <c r="J6" s="294"/>
      <c r="K6" s="294"/>
      <c r="L6" s="294"/>
      <c r="M6" s="295"/>
    </row>
    <row r="7" spans="2:13" x14ac:dyDescent="0.2">
      <c r="B7" s="398"/>
      <c r="C7" s="399"/>
      <c r="D7" s="399"/>
      <c r="E7" s="399"/>
      <c r="F7" s="399"/>
      <c r="G7" s="400"/>
      <c r="H7" s="399"/>
      <c r="I7" s="401"/>
      <c r="J7" s="402"/>
      <c r="K7" s="402"/>
      <c r="L7" s="402"/>
      <c r="M7" s="403"/>
    </row>
    <row r="8" spans="2:13" ht="13.5" thickBot="1" x14ac:dyDescent="0.25">
      <c r="B8" s="394"/>
      <c r="C8" s="395"/>
      <c r="D8" s="395"/>
      <c r="E8" s="395"/>
      <c r="F8" s="395"/>
      <c r="G8" s="396"/>
      <c r="H8" s="395"/>
      <c r="I8" s="395"/>
      <c r="J8" s="395"/>
      <c r="K8" s="395"/>
      <c r="L8" s="395"/>
      <c r="M8" s="397"/>
    </row>
    <row r="9" spans="2:13" ht="13.5" thickBot="1" x14ac:dyDescent="0.25">
      <c r="B9" s="293" t="s">
        <v>116</v>
      </c>
      <c r="C9" s="294"/>
      <c r="D9" s="294"/>
      <c r="E9" s="294"/>
      <c r="F9" s="294"/>
      <c r="G9" s="319" t="s">
        <v>114</v>
      </c>
      <c r="H9" s="320"/>
      <c r="I9" s="319" t="s">
        <v>111</v>
      </c>
      <c r="J9" s="294"/>
      <c r="K9" s="294"/>
      <c r="L9" s="294"/>
      <c r="M9" s="295"/>
    </row>
    <row r="10" spans="2:13" x14ac:dyDescent="0.2">
      <c r="B10" s="398"/>
      <c r="C10" s="399"/>
      <c r="D10" s="399"/>
      <c r="E10" s="399"/>
      <c r="F10" s="399"/>
      <c r="G10" s="400"/>
      <c r="H10" s="399"/>
      <c r="I10" s="401"/>
      <c r="J10" s="402"/>
      <c r="K10" s="402"/>
      <c r="L10" s="402"/>
      <c r="M10" s="403"/>
    </row>
    <row r="11" spans="2:13" ht="13.5" thickBot="1" x14ac:dyDescent="0.25">
      <c r="B11" s="394"/>
      <c r="C11" s="395"/>
      <c r="D11" s="395"/>
      <c r="E11" s="395"/>
      <c r="F11" s="395"/>
      <c r="G11" s="396"/>
      <c r="H11" s="395"/>
      <c r="I11" s="395"/>
      <c r="J11" s="395"/>
      <c r="K11" s="395"/>
      <c r="L11" s="395"/>
      <c r="M11" s="397"/>
    </row>
    <row r="12" spans="2:13" ht="13.5" thickBot="1" x14ac:dyDescent="0.25">
      <c r="B12" s="293" t="s">
        <v>117</v>
      </c>
      <c r="C12" s="294"/>
      <c r="D12" s="294"/>
      <c r="E12" s="294"/>
      <c r="F12" s="294"/>
      <c r="G12" s="319" t="s">
        <v>114</v>
      </c>
      <c r="H12" s="320"/>
      <c r="I12" s="319" t="s">
        <v>111</v>
      </c>
      <c r="J12" s="294"/>
      <c r="K12" s="294"/>
      <c r="L12" s="294"/>
      <c r="M12" s="295"/>
    </row>
    <row r="13" spans="2:13" x14ac:dyDescent="0.2">
      <c r="B13" s="398"/>
      <c r="C13" s="399"/>
      <c r="D13" s="399"/>
      <c r="E13" s="399"/>
      <c r="F13" s="399"/>
      <c r="G13" s="400"/>
      <c r="H13" s="399"/>
      <c r="I13" s="401"/>
      <c r="J13" s="402"/>
      <c r="K13" s="402"/>
      <c r="L13" s="402"/>
      <c r="M13" s="403"/>
    </row>
    <row r="14" spans="2:13" ht="13.5" thickBot="1" x14ac:dyDescent="0.25">
      <c r="B14" s="394"/>
      <c r="C14" s="395"/>
      <c r="D14" s="395"/>
      <c r="E14" s="395"/>
      <c r="F14" s="395"/>
      <c r="G14" s="396"/>
      <c r="H14" s="395"/>
      <c r="I14" s="395"/>
      <c r="J14" s="395"/>
      <c r="K14" s="395"/>
      <c r="L14" s="395"/>
      <c r="M14" s="397"/>
    </row>
    <row r="15" spans="2:13" ht="13.5" thickBot="1" x14ac:dyDescent="0.25">
      <c r="B15" s="293" t="s">
        <v>118</v>
      </c>
      <c r="C15" s="294"/>
      <c r="D15" s="294"/>
      <c r="E15" s="294"/>
      <c r="F15" s="294"/>
      <c r="G15" s="319" t="s">
        <v>114</v>
      </c>
      <c r="H15" s="320"/>
      <c r="I15" s="319" t="s">
        <v>111</v>
      </c>
      <c r="J15" s="294"/>
      <c r="K15" s="294"/>
      <c r="L15" s="294"/>
      <c r="M15" s="295"/>
    </row>
    <row r="16" spans="2:13" x14ac:dyDescent="0.2">
      <c r="B16" s="398"/>
      <c r="C16" s="399"/>
      <c r="D16" s="399"/>
      <c r="E16" s="399"/>
      <c r="F16" s="399"/>
      <c r="G16" s="400"/>
      <c r="H16" s="399"/>
      <c r="I16" s="401"/>
      <c r="J16" s="402"/>
      <c r="K16" s="402"/>
      <c r="L16" s="402"/>
      <c r="M16" s="403"/>
    </row>
    <row r="17" spans="2:13" ht="13.5" thickBot="1" x14ac:dyDescent="0.25">
      <c r="B17" s="394"/>
      <c r="C17" s="395"/>
      <c r="D17" s="395"/>
      <c r="E17" s="395"/>
      <c r="F17" s="395"/>
      <c r="G17" s="396"/>
      <c r="H17" s="395"/>
      <c r="I17" s="395"/>
      <c r="J17" s="395"/>
      <c r="K17" s="395"/>
      <c r="L17" s="395"/>
      <c r="M17" s="397"/>
    </row>
    <row r="18" spans="2:13" ht="13.5" thickBot="1" x14ac:dyDescent="0.25">
      <c r="B18" s="293" t="s">
        <v>119</v>
      </c>
      <c r="C18" s="294"/>
      <c r="D18" s="294"/>
      <c r="E18" s="294"/>
      <c r="F18" s="294"/>
      <c r="G18" s="319" t="s">
        <v>114</v>
      </c>
      <c r="H18" s="320"/>
      <c r="I18" s="319" t="s">
        <v>111</v>
      </c>
      <c r="J18" s="294"/>
      <c r="K18" s="294"/>
      <c r="L18" s="294"/>
      <c r="M18" s="295"/>
    </row>
    <row r="19" spans="2:13" x14ac:dyDescent="0.2">
      <c r="B19" s="398"/>
      <c r="C19" s="399"/>
      <c r="D19" s="399"/>
      <c r="E19" s="399"/>
      <c r="F19" s="399"/>
      <c r="G19" s="400"/>
      <c r="H19" s="399"/>
      <c r="I19" s="401"/>
      <c r="J19" s="402"/>
      <c r="K19" s="402"/>
      <c r="L19" s="402"/>
      <c r="M19" s="403"/>
    </row>
    <row r="20" spans="2:13" ht="13.5" thickBot="1" x14ac:dyDescent="0.25">
      <c r="B20" s="394"/>
      <c r="C20" s="395"/>
      <c r="D20" s="395"/>
      <c r="E20" s="395"/>
      <c r="F20" s="395"/>
      <c r="G20" s="396"/>
      <c r="H20" s="395"/>
      <c r="I20" s="395"/>
      <c r="J20" s="395"/>
      <c r="K20" s="395"/>
      <c r="L20" s="395"/>
      <c r="M20" s="397"/>
    </row>
    <row r="21" spans="2:13" ht="13.5" thickBot="1" x14ac:dyDescent="0.25">
      <c r="B21" s="293" t="s">
        <v>120</v>
      </c>
      <c r="C21" s="294"/>
      <c r="D21" s="294"/>
      <c r="E21" s="294"/>
      <c r="F21" s="294"/>
      <c r="G21" s="319" t="s">
        <v>114</v>
      </c>
      <c r="H21" s="320"/>
      <c r="I21" s="319" t="s">
        <v>111</v>
      </c>
      <c r="J21" s="294"/>
      <c r="K21" s="294"/>
      <c r="L21" s="294"/>
      <c r="M21" s="295"/>
    </row>
    <row r="22" spans="2:13" x14ac:dyDescent="0.2">
      <c r="B22" s="398"/>
      <c r="C22" s="399"/>
      <c r="D22" s="399"/>
      <c r="E22" s="399"/>
      <c r="F22" s="399"/>
      <c r="G22" s="400"/>
      <c r="H22" s="399"/>
      <c r="I22" s="401"/>
      <c r="J22" s="402"/>
      <c r="K22" s="402"/>
      <c r="L22" s="402"/>
      <c r="M22" s="403"/>
    </row>
    <row r="23" spans="2:13" ht="13.5" thickBot="1" x14ac:dyDescent="0.25">
      <c r="B23" s="394"/>
      <c r="C23" s="395"/>
      <c r="D23" s="395"/>
      <c r="E23" s="395"/>
      <c r="F23" s="395"/>
      <c r="G23" s="396"/>
      <c r="H23" s="395"/>
      <c r="I23" s="395"/>
      <c r="J23" s="395"/>
      <c r="K23" s="395"/>
      <c r="L23" s="395"/>
      <c r="M23" s="397"/>
    </row>
    <row r="24" spans="2:13" ht="13.5" thickBot="1" x14ac:dyDescent="0.25">
      <c r="B24" s="293" t="s">
        <v>121</v>
      </c>
      <c r="C24" s="294"/>
      <c r="D24" s="294"/>
      <c r="E24" s="294"/>
      <c r="F24" s="294"/>
      <c r="G24" s="319" t="s">
        <v>114</v>
      </c>
      <c r="H24" s="320"/>
      <c r="I24" s="319" t="s">
        <v>111</v>
      </c>
      <c r="J24" s="294"/>
      <c r="K24" s="294"/>
      <c r="L24" s="294"/>
      <c r="M24" s="295"/>
    </row>
    <row r="25" spans="2:13" x14ac:dyDescent="0.2">
      <c r="B25" s="398"/>
      <c r="C25" s="399"/>
      <c r="D25" s="399"/>
      <c r="E25" s="399"/>
      <c r="F25" s="399"/>
      <c r="G25" s="400"/>
      <c r="H25" s="399"/>
      <c r="I25" s="401"/>
      <c r="J25" s="402"/>
      <c r="K25" s="402"/>
      <c r="L25" s="402"/>
      <c r="M25" s="403"/>
    </row>
    <row r="26" spans="2:13" ht="13.5" thickBot="1" x14ac:dyDescent="0.25">
      <c r="B26" s="394"/>
      <c r="C26" s="395"/>
      <c r="D26" s="395"/>
      <c r="E26" s="395"/>
      <c r="F26" s="395"/>
      <c r="G26" s="396"/>
      <c r="H26" s="395"/>
      <c r="I26" s="395"/>
      <c r="J26" s="395"/>
      <c r="K26" s="395"/>
      <c r="L26" s="395"/>
      <c r="M26" s="397"/>
    </row>
    <row r="27" spans="2:13" ht="13.5" thickBot="1" x14ac:dyDescent="0.25">
      <c r="B27" s="293" t="s">
        <v>122</v>
      </c>
      <c r="C27" s="294"/>
      <c r="D27" s="294"/>
      <c r="E27" s="294"/>
      <c r="F27" s="294"/>
      <c r="G27" s="319" t="s">
        <v>114</v>
      </c>
      <c r="H27" s="320"/>
      <c r="I27" s="319" t="s">
        <v>111</v>
      </c>
      <c r="J27" s="294"/>
      <c r="K27" s="294"/>
      <c r="L27" s="294"/>
      <c r="M27" s="295"/>
    </row>
    <row r="28" spans="2:13" x14ac:dyDescent="0.2">
      <c r="B28" s="398"/>
      <c r="C28" s="399"/>
      <c r="D28" s="399"/>
      <c r="E28" s="399"/>
      <c r="F28" s="399"/>
      <c r="G28" s="400"/>
      <c r="H28" s="399"/>
      <c r="I28" s="401"/>
      <c r="J28" s="402"/>
      <c r="K28" s="402"/>
      <c r="L28" s="402"/>
      <c r="M28" s="403"/>
    </row>
    <row r="29" spans="2:13" ht="13.5" thickBot="1" x14ac:dyDescent="0.25">
      <c r="B29" s="394"/>
      <c r="C29" s="395"/>
      <c r="D29" s="395"/>
      <c r="E29" s="395"/>
      <c r="F29" s="395"/>
      <c r="G29" s="396"/>
      <c r="H29" s="395"/>
      <c r="I29" s="395"/>
      <c r="J29" s="395"/>
      <c r="K29" s="395"/>
      <c r="L29" s="395"/>
      <c r="M29" s="397"/>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0"/>
  <sheetViews>
    <sheetView zoomScale="90" zoomScaleNormal="90" zoomScalePageLayoutView="90" workbookViewId="0">
      <pane ySplit="8" topLeftCell="A9" activePane="bottomLeft" state="frozen"/>
      <selection pane="bottomLeft" activeCell="G22" sqref="G22"/>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s>
  <sheetData>
    <row r="1" spans="1:7" ht="13.5" thickBot="1" x14ac:dyDescent="0.25"/>
    <row r="2" spans="1:7" ht="13.5" thickBot="1" x14ac:dyDescent="0.25">
      <c r="A2" s="6" t="s">
        <v>24</v>
      </c>
      <c r="B2" s="9"/>
      <c r="D2" s="11"/>
      <c r="E2" s="12" t="s">
        <v>42</v>
      </c>
      <c r="F2" s="52"/>
      <c r="G2" s="55" t="s">
        <v>71</v>
      </c>
    </row>
    <row r="3" spans="1:7" x14ac:dyDescent="0.2">
      <c r="A3" s="10" t="s">
        <v>28</v>
      </c>
      <c r="B3" s="21" t="str">
        <f>Metrics!B3</f>
        <v>Tier-1</v>
      </c>
      <c r="D3" s="13"/>
      <c r="E3" s="14" t="s">
        <v>39</v>
      </c>
      <c r="F3" s="33"/>
      <c r="G3" t="s">
        <v>4</v>
      </c>
    </row>
    <row r="4" spans="1:7" x14ac:dyDescent="0.2">
      <c r="A4" s="4" t="s">
        <v>25</v>
      </c>
      <c r="B4" s="19" t="str">
        <f>Metrics!B4</f>
        <v>Q218</v>
      </c>
      <c r="D4" s="15"/>
      <c r="E4" s="14" t="s">
        <v>40</v>
      </c>
      <c r="F4" s="51"/>
      <c r="G4" t="s">
        <v>3</v>
      </c>
    </row>
    <row r="5" spans="1:7" ht="13.5" thickBot="1" x14ac:dyDescent="0.25">
      <c r="A5" s="5" t="s">
        <v>29</v>
      </c>
      <c r="B5" s="20" t="str">
        <f>Metrics!B5</f>
        <v>Gareth Smith</v>
      </c>
      <c r="D5" s="16"/>
      <c r="E5" s="17" t="s">
        <v>34</v>
      </c>
      <c r="F5" s="56"/>
      <c r="G5" t="s">
        <v>0</v>
      </c>
    </row>
    <row r="6" spans="1:7" x14ac:dyDescent="0.2">
      <c r="A6" s="29" t="s">
        <v>55</v>
      </c>
    </row>
    <row r="7" spans="1:7" ht="13.5" thickBot="1" x14ac:dyDescent="0.25"/>
    <row r="8" spans="1:7" ht="20.100000000000001" customHeight="1" thickBot="1" x14ac:dyDescent="0.25">
      <c r="A8" s="7" t="s">
        <v>35</v>
      </c>
      <c r="B8" s="7" t="s">
        <v>27</v>
      </c>
      <c r="C8" s="7" t="s">
        <v>26</v>
      </c>
      <c r="D8" s="7" t="s">
        <v>36</v>
      </c>
      <c r="E8" s="7" t="s">
        <v>37</v>
      </c>
      <c r="F8" s="7" t="s">
        <v>38</v>
      </c>
      <c r="G8" s="7" t="s">
        <v>33</v>
      </c>
    </row>
    <row r="9" spans="1:7" s="30" customFormat="1" ht="25.5" x14ac:dyDescent="0.2">
      <c r="A9" s="180" t="s">
        <v>168</v>
      </c>
      <c r="B9" s="232" t="s">
        <v>96</v>
      </c>
      <c r="C9" s="181" t="s">
        <v>52</v>
      </c>
      <c r="D9" s="182">
        <v>42522</v>
      </c>
      <c r="E9" s="184"/>
      <c r="F9" s="184"/>
      <c r="G9" s="184" t="s">
        <v>212</v>
      </c>
    </row>
    <row r="10" spans="1:7" x14ac:dyDescent="0.2">
      <c r="A10" s="180" t="s">
        <v>169</v>
      </c>
      <c r="B10" s="181" t="s">
        <v>160</v>
      </c>
      <c r="C10" s="181" t="s">
        <v>52</v>
      </c>
      <c r="D10" s="182">
        <v>42675</v>
      </c>
      <c r="E10" s="183">
        <v>42767</v>
      </c>
      <c r="F10" s="184"/>
      <c r="G10" s="184" t="s">
        <v>221</v>
      </c>
    </row>
    <row r="11" spans="1:7" s="30" customFormat="1" x14ac:dyDescent="0.2">
      <c r="A11" s="180" t="s">
        <v>170</v>
      </c>
      <c r="B11" s="181" t="s">
        <v>161</v>
      </c>
      <c r="C11" s="181" t="s">
        <v>52</v>
      </c>
      <c r="D11" s="182">
        <v>42826</v>
      </c>
      <c r="E11" s="184"/>
      <c r="F11" s="184"/>
      <c r="G11" s="184" t="s">
        <v>440</v>
      </c>
    </row>
    <row r="12" spans="1:7" x14ac:dyDescent="0.2">
      <c r="A12" s="180" t="s">
        <v>171</v>
      </c>
      <c r="B12" s="181" t="s">
        <v>123</v>
      </c>
      <c r="C12" s="181" t="s">
        <v>408</v>
      </c>
      <c r="D12" s="182">
        <v>42856</v>
      </c>
      <c r="E12" s="184"/>
      <c r="F12" s="184"/>
      <c r="G12" s="237" t="s">
        <v>343</v>
      </c>
    </row>
    <row r="13" spans="1:7" x14ac:dyDescent="0.2">
      <c r="A13" s="180" t="s">
        <v>172</v>
      </c>
      <c r="B13" s="181" t="s">
        <v>96</v>
      </c>
      <c r="C13" s="181" t="s">
        <v>408</v>
      </c>
      <c r="D13" s="182">
        <v>42887</v>
      </c>
      <c r="E13" s="184"/>
      <c r="F13" s="184"/>
      <c r="G13" s="184" t="s">
        <v>341</v>
      </c>
    </row>
    <row r="14" spans="1:7" ht="25.5" x14ac:dyDescent="0.2">
      <c r="A14" s="180" t="s">
        <v>173</v>
      </c>
      <c r="B14" s="181" t="s">
        <v>162</v>
      </c>
      <c r="C14" s="181" t="s">
        <v>408</v>
      </c>
      <c r="D14" s="182">
        <v>43040</v>
      </c>
      <c r="E14" s="240"/>
      <c r="F14" s="184"/>
      <c r="G14" s="184" t="s">
        <v>374</v>
      </c>
    </row>
    <row r="15" spans="1:7" ht="25.5" x14ac:dyDescent="0.2">
      <c r="A15" s="254" t="s">
        <v>174</v>
      </c>
      <c r="B15" s="255" t="s">
        <v>163</v>
      </c>
      <c r="C15" s="181" t="s">
        <v>408</v>
      </c>
      <c r="D15" s="256">
        <v>43191</v>
      </c>
      <c r="E15" s="257"/>
      <c r="F15" s="257"/>
      <c r="G15" s="257" t="s">
        <v>453</v>
      </c>
    </row>
    <row r="16" spans="1:7" x14ac:dyDescent="0.2">
      <c r="A16" s="233" t="s">
        <v>175</v>
      </c>
      <c r="B16" s="234" t="s">
        <v>123</v>
      </c>
      <c r="C16" s="181" t="s">
        <v>408</v>
      </c>
      <c r="D16" s="235">
        <v>43221</v>
      </c>
      <c r="E16" s="236"/>
      <c r="F16" s="236"/>
      <c r="G16" s="236" t="s">
        <v>454</v>
      </c>
    </row>
    <row r="17" spans="1:7" s="30" customFormat="1" ht="25.5" x14ac:dyDescent="0.2">
      <c r="A17" s="233" t="s">
        <v>176</v>
      </c>
      <c r="B17" s="258" t="s">
        <v>96</v>
      </c>
      <c r="C17" s="181" t="s">
        <v>408</v>
      </c>
      <c r="D17" s="235">
        <v>43252</v>
      </c>
      <c r="E17" s="236"/>
      <c r="F17" s="236"/>
      <c r="G17" s="236" t="s">
        <v>455</v>
      </c>
    </row>
    <row r="18" spans="1:7" s="30" customFormat="1" x14ac:dyDescent="0.2">
      <c r="A18" s="162" t="s">
        <v>177</v>
      </c>
      <c r="B18" s="160" t="s">
        <v>164</v>
      </c>
      <c r="C18" s="181" t="s">
        <v>408</v>
      </c>
      <c r="D18" s="161">
        <v>43405</v>
      </c>
      <c r="E18" s="138"/>
      <c r="F18" s="138"/>
      <c r="G18" s="138"/>
    </row>
    <row r="19" spans="1:7" x14ac:dyDescent="0.2">
      <c r="A19" s="162" t="s">
        <v>178</v>
      </c>
      <c r="B19" s="160" t="s">
        <v>165</v>
      </c>
      <c r="C19" s="181" t="s">
        <v>408</v>
      </c>
      <c r="D19" s="161">
        <v>43556</v>
      </c>
      <c r="E19" s="138"/>
      <c r="F19" s="138"/>
      <c r="G19" s="138"/>
    </row>
    <row r="20" spans="1:7" ht="32.25" customHeight="1" x14ac:dyDescent="0.2">
      <c r="A20" s="162" t="s">
        <v>179</v>
      </c>
      <c r="B20" s="160" t="s">
        <v>123</v>
      </c>
      <c r="C20" s="181" t="s">
        <v>408</v>
      </c>
      <c r="D20" s="161">
        <v>43586</v>
      </c>
      <c r="E20" s="138"/>
      <c r="F20" s="138"/>
      <c r="G20" s="138"/>
    </row>
    <row r="21" spans="1:7" x14ac:dyDescent="0.2">
      <c r="A21" s="162" t="s">
        <v>180</v>
      </c>
      <c r="B21" s="159" t="s">
        <v>96</v>
      </c>
      <c r="C21" s="181" t="s">
        <v>408</v>
      </c>
      <c r="D21" s="161">
        <v>43617</v>
      </c>
      <c r="E21" s="138"/>
      <c r="F21" s="138"/>
      <c r="G21" s="138"/>
    </row>
    <row r="22" spans="1:7" s="30" customFormat="1" ht="42.75" customHeight="1" x14ac:dyDescent="0.2">
      <c r="A22" s="162" t="s">
        <v>181</v>
      </c>
      <c r="B22" s="160" t="s">
        <v>166</v>
      </c>
      <c r="C22" s="181" t="s">
        <v>408</v>
      </c>
      <c r="D22" s="161">
        <v>43770</v>
      </c>
      <c r="E22" s="138"/>
      <c r="F22" s="138"/>
      <c r="G22" s="138"/>
    </row>
    <row r="23" spans="1:7" s="30" customFormat="1" ht="42.75" customHeight="1" x14ac:dyDescent="0.2">
      <c r="A23" s="162" t="s">
        <v>182</v>
      </c>
      <c r="B23" s="160" t="s">
        <v>167</v>
      </c>
      <c r="C23" s="181" t="s">
        <v>408</v>
      </c>
      <c r="D23" s="161">
        <v>43922</v>
      </c>
      <c r="E23" s="138"/>
      <c r="F23" s="138"/>
      <c r="G23" s="138"/>
    </row>
    <row r="24" spans="1:7" s="30" customFormat="1" ht="128.25" customHeight="1" x14ac:dyDescent="0.2">
      <c r="A24" s="162" t="s">
        <v>183</v>
      </c>
      <c r="B24" s="160" t="s">
        <v>123</v>
      </c>
      <c r="C24" s="181" t="s">
        <v>408</v>
      </c>
      <c r="D24" s="161">
        <v>43952</v>
      </c>
      <c r="E24" s="138"/>
      <c r="F24" s="138"/>
      <c r="G24" s="138"/>
    </row>
    <row r="25" spans="1:7" s="30" customFormat="1" ht="48.75" customHeight="1" x14ac:dyDescent="0.2"/>
    <row r="26" spans="1:7" s="30" customFormat="1" x14ac:dyDescent="0.2"/>
    <row r="27" spans="1:7" s="30" customFormat="1" x14ac:dyDescent="0.2"/>
    <row r="28" spans="1:7" s="30" customFormat="1" x14ac:dyDescent="0.2"/>
    <row r="29" spans="1:7" s="30" customFormat="1" ht="49.5" customHeight="1" x14ac:dyDescent="0.2"/>
    <row r="30" spans="1:7" s="30" customFormat="1" ht="35.1" customHeight="1" x14ac:dyDescent="0.2"/>
  </sheetData>
  <phoneticPr fontId="0" type="noConversion"/>
  <pageMargins left="0.75" right="0.75" top="1" bottom="1" header="0.5" footer="0.5"/>
  <pageSetup paperSize="9" scale="7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zoomScale="80" zoomScaleNormal="80" zoomScalePageLayoutView="80" workbookViewId="0">
      <selection activeCell="C14" sqref="C14"/>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104</v>
      </c>
      <c r="C10" s="106" t="s">
        <v>220</v>
      </c>
      <c r="D10" s="128">
        <v>4.5</v>
      </c>
      <c r="E10" s="128">
        <v>4.5</v>
      </c>
      <c r="F10" s="128">
        <v>4.5</v>
      </c>
      <c r="G10" s="143"/>
      <c r="H10" s="144"/>
      <c r="I10" s="145"/>
      <c r="J10" s="117"/>
      <c r="K10" s="127"/>
      <c r="L10" s="63">
        <f>SUM(D10:F10)</f>
        <v>13.5</v>
      </c>
      <c r="M10" s="63">
        <f t="shared" ref="M10:M15" si="0">SUM(G10:I10)</f>
        <v>0</v>
      </c>
    </row>
    <row r="11" spans="1:18" s="30" customFormat="1" ht="63" x14ac:dyDescent="0.25">
      <c r="A11" s="107" t="s">
        <v>51</v>
      </c>
      <c r="B11" s="108" t="s">
        <v>105</v>
      </c>
      <c r="C11" s="109" t="s">
        <v>124</v>
      </c>
      <c r="D11" s="129">
        <v>3.7</v>
      </c>
      <c r="E11" s="129">
        <v>3.7</v>
      </c>
      <c r="F11" s="129">
        <v>3.7</v>
      </c>
      <c r="G11" s="146"/>
      <c r="H11" s="146"/>
      <c r="I11" s="146"/>
      <c r="J11" s="117"/>
      <c r="L11" s="63">
        <f>SUM(D11:F11)</f>
        <v>11.100000000000001</v>
      </c>
      <c r="M11" s="63">
        <f t="shared" si="0"/>
        <v>0</v>
      </c>
    </row>
    <row r="12" spans="1:18" s="30" customFormat="1" ht="63" x14ac:dyDescent="0.25">
      <c r="A12" s="107" t="s">
        <v>51</v>
      </c>
      <c r="B12" s="108" t="s">
        <v>222</v>
      </c>
      <c r="C12" s="109" t="s">
        <v>136</v>
      </c>
      <c r="D12" s="130">
        <v>3.9</v>
      </c>
      <c r="E12" s="130">
        <v>3.9</v>
      </c>
      <c r="F12" s="130">
        <v>3.9</v>
      </c>
      <c r="G12" s="147"/>
      <c r="H12" s="147"/>
      <c r="I12" s="147"/>
      <c r="J12" s="83"/>
      <c r="L12" s="63">
        <f>SUM(D12:F12)</f>
        <v>11.7</v>
      </c>
      <c r="M12" s="63">
        <f t="shared" si="0"/>
        <v>0</v>
      </c>
      <c r="R12" s="63">
        <f>AVERAGE(D16:F16)</f>
        <v>15.772072072072072</v>
      </c>
    </row>
    <row r="13" spans="1:18" s="30" customFormat="1" ht="15.75" x14ac:dyDescent="0.25">
      <c r="A13" s="107" t="s">
        <v>51</v>
      </c>
      <c r="B13" s="108" t="s">
        <v>106</v>
      </c>
      <c r="C13" s="109" t="s">
        <v>283</v>
      </c>
      <c r="D13" s="130">
        <v>1.8</v>
      </c>
      <c r="E13" s="130">
        <v>1.3</v>
      </c>
      <c r="F13" s="130">
        <v>1.3</v>
      </c>
      <c r="G13" s="147"/>
      <c r="H13" s="148"/>
      <c r="I13" s="149"/>
      <c r="J13" s="118"/>
      <c r="L13" s="63">
        <f>SUM(D13:F13)</f>
        <v>4.4000000000000004</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109</v>
      </c>
      <c r="D15" s="131">
        <v>2.0054054054054054</v>
      </c>
      <c r="E15" s="131">
        <v>2.0054054054054054</v>
      </c>
      <c r="F15" s="131">
        <v>2.0054054054054054</v>
      </c>
      <c r="G15" s="150"/>
      <c r="H15" s="150"/>
      <c r="I15" s="150"/>
      <c r="J15" s="118"/>
      <c r="L15" s="63">
        <f t="shared" si="1"/>
        <v>6.0162162162162165</v>
      </c>
      <c r="M15" s="63">
        <f t="shared" si="0"/>
        <v>0</v>
      </c>
    </row>
    <row r="16" spans="1:18" s="30" customFormat="1" ht="16.5" thickBot="1" x14ac:dyDescent="0.3">
      <c r="A16" s="110" t="s">
        <v>23</v>
      </c>
      <c r="B16" s="111"/>
      <c r="C16" s="112"/>
      <c r="D16" s="113">
        <f t="shared" ref="D16:I16" si="2">SUM(D10:D15)</f>
        <v>16.105405405405406</v>
      </c>
      <c r="E16" s="113">
        <f t="shared" si="2"/>
        <v>15.605405405405405</v>
      </c>
      <c r="F16" s="113">
        <f t="shared" si="2"/>
        <v>15.605405405405405</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128">
        <v>0.37</v>
      </c>
      <c r="E21" s="128">
        <v>0.37</v>
      </c>
      <c r="F21" s="128">
        <v>0.37</v>
      </c>
      <c r="G21" s="143"/>
      <c r="H21" s="144"/>
      <c r="I21" s="145"/>
      <c r="J21" s="117"/>
      <c r="K21" s="127"/>
      <c r="L21" s="63">
        <f>SUM(D21:F21)</f>
        <v>1.1099999999999999</v>
      </c>
      <c r="M21" s="63">
        <f>SUM(G21:I21)</f>
        <v>0</v>
      </c>
    </row>
    <row r="22" spans="1:14" s="30" customFormat="1" ht="16.5" thickBot="1" x14ac:dyDescent="0.3">
      <c r="A22" s="107" t="s">
        <v>51</v>
      </c>
      <c r="B22" s="108" t="s">
        <v>209</v>
      </c>
      <c r="C22" s="109" t="s">
        <v>223</v>
      </c>
      <c r="D22" s="129">
        <v>0.28999999999999998</v>
      </c>
      <c r="E22" s="129">
        <v>0.28999999999999998</v>
      </c>
      <c r="F22" s="129">
        <v>0.27800000000000002</v>
      </c>
      <c r="G22" s="146"/>
      <c r="H22" s="146"/>
      <c r="I22" s="146"/>
      <c r="J22" s="117"/>
      <c r="L22" s="63">
        <f>SUM(D22:F22)</f>
        <v>0.85799999999999998</v>
      </c>
      <c r="M22" s="63">
        <f>SUM(G22:I22)</f>
        <v>0</v>
      </c>
    </row>
    <row r="23" spans="1:14" s="30" customFormat="1" ht="16.5" thickBot="1" x14ac:dyDescent="0.3">
      <c r="A23" s="110" t="s">
        <v>23</v>
      </c>
      <c r="B23" s="111"/>
      <c r="C23" s="112"/>
      <c r="D23" s="113">
        <f t="shared" ref="D23:I23" si="3">SUM(D21:D22)</f>
        <v>0.65999999999999992</v>
      </c>
      <c r="E23" s="113">
        <f t="shared" si="3"/>
        <v>0.65999999999999992</v>
      </c>
      <c r="F23" s="113">
        <f t="shared" si="3"/>
        <v>0.64800000000000002</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zoomScale="80" zoomScaleNormal="80" zoomScalePageLayoutView="80" workbookViewId="0">
      <selection activeCell="F23" sqref="F2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104</v>
      </c>
      <c r="C10" s="106" t="s">
        <v>220</v>
      </c>
      <c r="D10" s="128"/>
      <c r="E10" s="128"/>
      <c r="F10" s="128"/>
      <c r="G10" s="143"/>
      <c r="H10" s="144"/>
      <c r="I10" s="145"/>
      <c r="J10" s="117"/>
      <c r="K10" s="127"/>
      <c r="L10" s="63">
        <f>SUM(D10:F10)</f>
        <v>0</v>
      </c>
      <c r="M10" s="63">
        <f t="shared" ref="M10:M15" si="0">SUM(G10:I10)</f>
        <v>0</v>
      </c>
    </row>
    <row r="11" spans="1:18" s="30" customFormat="1" ht="63" x14ac:dyDescent="0.25">
      <c r="A11" s="107" t="s">
        <v>51</v>
      </c>
      <c r="B11" s="108" t="s">
        <v>105</v>
      </c>
      <c r="C11" s="109" t="s">
        <v>124</v>
      </c>
      <c r="D11" s="129"/>
      <c r="E11" s="129"/>
      <c r="F11" s="129"/>
      <c r="G11" s="146"/>
      <c r="H11" s="146"/>
      <c r="I11" s="146"/>
      <c r="J11" s="117"/>
      <c r="L11" s="63">
        <f>SUM(D11:F11)</f>
        <v>0</v>
      </c>
      <c r="M11" s="63">
        <f t="shared" si="0"/>
        <v>0</v>
      </c>
    </row>
    <row r="12" spans="1:18" s="30" customFormat="1" ht="63" x14ac:dyDescent="0.25">
      <c r="A12" s="107" t="s">
        <v>51</v>
      </c>
      <c r="B12" s="108" t="s">
        <v>222</v>
      </c>
      <c r="C12" s="109" t="s">
        <v>136</v>
      </c>
      <c r="D12" s="130"/>
      <c r="E12" s="130"/>
      <c r="F12" s="130"/>
      <c r="G12" s="147"/>
      <c r="H12" s="147"/>
      <c r="I12" s="147"/>
      <c r="J12" s="83"/>
      <c r="L12" s="63">
        <f>SUM(D12:F12)</f>
        <v>0</v>
      </c>
      <c r="M12" s="63">
        <f t="shared" si="0"/>
        <v>0</v>
      </c>
      <c r="R12" s="63">
        <f>AVERAGE(D16:F16)</f>
        <v>0</v>
      </c>
    </row>
    <row r="13" spans="1:18" s="30" customFormat="1" ht="15.75" x14ac:dyDescent="0.25">
      <c r="A13" s="107" t="s">
        <v>51</v>
      </c>
      <c r="B13" s="108" t="s">
        <v>106</v>
      </c>
      <c r="C13" s="109" t="s">
        <v>283</v>
      </c>
      <c r="D13" s="130"/>
      <c r="E13" s="130"/>
      <c r="F13" s="130"/>
      <c r="G13" s="147"/>
      <c r="H13" s="148"/>
      <c r="I13" s="149"/>
      <c r="J13" s="118"/>
      <c r="L13" s="63">
        <f>SUM(D13:F13)</f>
        <v>0</v>
      </c>
      <c r="M13" s="63">
        <f t="shared" si="0"/>
        <v>0</v>
      </c>
    </row>
    <row r="14" spans="1:18" s="30" customFormat="1" ht="15.75" x14ac:dyDescent="0.25">
      <c r="A14" s="107" t="s">
        <v>51</v>
      </c>
      <c r="B14" s="108" t="s">
        <v>50</v>
      </c>
      <c r="C14" s="109" t="s">
        <v>70</v>
      </c>
      <c r="D14" s="130"/>
      <c r="E14" s="130"/>
      <c r="F14" s="130"/>
      <c r="G14" s="147"/>
      <c r="H14" s="147"/>
      <c r="I14" s="147"/>
      <c r="J14" s="118"/>
      <c r="L14" s="63">
        <f t="shared" ref="L14:L15" si="1">SUM(D14:F14)</f>
        <v>0</v>
      </c>
      <c r="M14" s="63">
        <f t="shared" si="0"/>
        <v>0</v>
      </c>
    </row>
    <row r="15" spans="1:18" s="30" customFormat="1" ht="16.5" thickBot="1" x14ac:dyDescent="0.3">
      <c r="A15" s="107" t="s">
        <v>51</v>
      </c>
      <c r="B15" s="108" t="s">
        <v>59</v>
      </c>
      <c r="C15" s="109" t="s">
        <v>109</v>
      </c>
      <c r="D15" s="131"/>
      <c r="E15" s="131"/>
      <c r="F15" s="131"/>
      <c r="G15" s="150"/>
      <c r="H15" s="150"/>
      <c r="I15" s="150"/>
      <c r="J15" s="118"/>
      <c r="L15" s="63">
        <f t="shared" si="1"/>
        <v>0</v>
      </c>
      <c r="M15" s="63">
        <f t="shared" si="0"/>
        <v>0</v>
      </c>
    </row>
    <row r="16" spans="1:18" s="30" customFormat="1" ht="16.5" thickBot="1" x14ac:dyDescent="0.3">
      <c r="A16" s="110" t="s">
        <v>23</v>
      </c>
      <c r="B16" s="111"/>
      <c r="C16" s="112"/>
      <c r="D16" s="113">
        <f t="shared" ref="D16:I16" si="2">SUM(D10:D15)</f>
        <v>0</v>
      </c>
      <c r="E16" s="113">
        <f t="shared" si="2"/>
        <v>0</v>
      </c>
      <c r="F16" s="113">
        <f t="shared" si="2"/>
        <v>0</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128"/>
      <c r="E21" s="128"/>
      <c r="F21" s="128"/>
      <c r="G21" s="143"/>
      <c r="H21" s="144"/>
      <c r="I21" s="145"/>
      <c r="J21" s="117"/>
      <c r="K21" s="127"/>
      <c r="L21" s="63">
        <f>SUM(D21:F21)</f>
        <v>0</v>
      </c>
      <c r="M21" s="63">
        <f>SUM(G21:I21)</f>
        <v>0</v>
      </c>
    </row>
    <row r="22" spans="1:14" s="30" customFormat="1" ht="16.5" thickBot="1" x14ac:dyDescent="0.3">
      <c r="A22" s="107" t="s">
        <v>51</v>
      </c>
      <c r="B22" s="108" t="s">
        <v>209</v>
      </c>
      <c r="C22" s="109" t="s">
        <v>223</v>
      </c>
      <c r="D22" s="129">
        <v>0</v>
      </c>
      <c r="E22" s="129">
        <v>0</v>
      </c>
      <c r="F22" s="129">
        <v>0</v>
      </c>
      <c r="G22" s="146"/>
      <c r="H22" s="146"/>
      <c r="I22" s="146"/>
      <c r="J22" s="117"/>
      <c r="L22" s="63">
        <f>SUM(D22:F22)</f>
        <v>0</v>
      </c>
      <c r="M22" s="63">
        <f>SUM(G22:I22)</f>
        <v>0</v>
      </c>
    </row>
    <row r="23" spans="1:14" s="30" customFormat="1" ht="16.5" thickBot="1" x14ac:dyDescent="0.3">
      <c r="A23" s="110" t="s">
        <v>23</v>
      </c>
      <c r="B23" s="111"/>
      <c r="C23" s="112"/>
      <c r="D23" s="113">
        <f t="shared" ref="D23:I23" si="3">SUM(D21:D22)</f>
        <v>0</v>
      </c>
      <c r="E23" s="113">
        <f t="shared" si="3"/>
        <v>0</v>
      </c>
      <c r="F23" s="113">
        <f t="shared" si="3"/>
        <v>0</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workbookViewId="0">
      <selection activeCell="A22" sqref="A22"/>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104</v>
      </c>
      <c r="C10" s="106" t="s">
        <v>220</v>
      </c>
      <c r="D10" s="130">
        <v>3.8</v>
      </c>
      <c r="E10" s="130">
        <v>4</v>
      </c>
      <c r="F10" s="130">
        <v>4</v>
      </c>
      <c r="G10" s="143"/>
      <c r="H10" s="144"/>
      <c r="I10" s="145"/>
      <c r="J10" s="117"/>
      <c r="K10" s="127"/>
      <c r="L10" s="63">
        <f>SUM(D10:F10)</f>
        <v>11.8</v>
      </c>
      <c r="M10" s="63">
        <f t="shared" ref="M10:M15" si="0">SUM(G10:I10)</f>
        <v>0</v>
      </c>
    </row>
    <row r="11" spans="1:18" s="30" customFormat="1" ht="63" x14ac:dyDescent="0.25">
      <c r="A11" s="107" t="s">
        <v>51</v>
      </c>
      <c r="B11" s="108" t="s">
        <v>105</v>
      </c>
      <c r="C11" s="109" t="s">
        <v>124</v>
      </c>
      <c r="D11" s="130">
        <v>3.7297297297297298</v>
      </c>
      <c r="E11" s="130">
        <v>3.7297297297297298</v>
      </c>
      <c r="F11" s="130">
        <v>3.5297297297297296</v>
      </c>
      <c r="G11" s="146"/>
      <c r="H11" s="146"/>
      <c r="I11" s="146"/>
      <c r="J11" s="117"/>
      <c r="L11" s="63">
        <f>SUM(D11:F11)</f>
        <v>10.98918918918919</v>
      </c>
      <c r="M11" s="63">
        <f t="shared" si="0"/>
        <v>0</v>
      </c>
    </row>
    <row r="12" spans="1:18" s="30" customFormat="1" ht="63" x14ac:dyDescent="0.25">
      <c r="A12" s="107" t="s">
        <v>51</v>
      </c>
      <c r="B12" s="108" t="s">
        <v>222</v>
      </c>
      <c r="C12" s="109" t="s">
        <v>136</v>
      </c>
      <c r="D12" s="130">
        <v>4.1000000000000005</v>
      </c>
      <c r="E12" s="130">
        <v>4.1000000000000005</v>
      </c>
      <c r="F12" s="130">
        <v>3.5000000000000004</v>
      </c>
      <c r="G12" s="147"/>
      <c r="H12" s="147"/>
      <c r="I12" s="147"/>
      <c r="J12" s="83"/>
      <c r="L12" s="63">
        <f>SUM(D12:F12)</f>
        <v>11.700000000000001</v>
      </c>
      <c r="M12" s="63">
        <f t="shared" si="0"/>
        <v>0</v>
      </c>
      <c r="R12" s="63">
        <f>AVERAGE(D16:F16)</f>
        <v>14.506396396396397</v>
      </c>
    </row>
    <row r="13" spans="1:18" s="30" customFormat="1" ht="15.75" x14ac:dyDescent="0.25">
      <c r="A13" s="107" t="s">
        <v>51</v>
      </c>
      <c r="B13" s="108" t="s">
        <v>106</v>
      </c>
      <c r="C13" s="109" t="s">
        <v>283</v>
      </c>
      <c r="D13" s="130">
        <v>1.3</v>
      </c>
      <c r="E13" s="130">
        <v>1.3</v>
      </c>
      <c r="F13" s="130">
        <v>1.3</v>
      </c>
      <c r="G13" s="147"/>
      <c r="H13" s="148"/>
      <c r="I13" s="149"/>
      <c r="J13" s="118"/>
      <c r="L13" s="63">
        <f>SUM(D13:F13)</f>
        <v>3.9000000000000004</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109</v>
      </c>
      <c r="D15" s="131">
        <v>1.31</v>
      </c>
      <c r="E15" s="131">
        <v>1.31</v>
      </c>
      <c r="F15" s="131">
        <v>1.91</v>
      </c>
      <c r="G15" s="150"/>
      <c r="H15" s="150"/>
      <c r="I15" s="150"/>
      <c r="J15" s="118"/>
      <c r="L15" s="63">
        <f t="shared" si="1"/>
        <v>4.53</v>
      </c>
      <c r="M15" s="63">
        <f t="shared" si="0"/>
        <v>0</v>
      </c>
    </row>
    <row r="16" spans="1:18" s="30" customFormat="1" ht="16.5" thickBot="1" x14ac:dyDescent="0.3">
      <c r="A16" s="110" t="s">
        <v>23</v>
      </c>
      <c r="B16" s="111"/>
      <c r="C16" s="112"/>
      <c r="D16" s="130">
        <f t="shared" ref="D16:I16" si="2">SUM(D10:D15)</f>
        <v>14.439729729729731</v>
      </c>
      <c r="E16" s="130">
        <f t="shared" si="2"/>
        <v>14.639729729729732</v>
      </c>
      <c r="F16" s="130">
        <f t="shared" si="2"/>
        <v>14.439729729729731</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225">
        <v>0.7</v>
      </c>
      <c r="E21" s="225">
        <v>0.7</v>
      </c>
      <c r="F21" s="225">
        <v>0.7</v>
      </c>
      <c r="G21" s="143"/>
      <c r="H21" s="144"/>
      <c r="I21" s="145"/>
      <c r="J21" s="117"/>
      <c r="K21" s="127"/>
      <c r="L21" s="63">
        <f>SUM(D21:F21)</f>
        <v>2.0999999999999996</v>
      </c>
      <c r="M21" s="63">
        <f>SUM(G21:I21)</f>
        <v>0</v>
      </c>
    </row>
    <row r="22" spans="1:14" s="30" customFormat="1" ht="16.5" thickBot="1" x14ac:dyDescent="0.3">
      <c r="A22" s="107" t="s">
        <v>51</v>
      </c>
      <c r="B22" s="108" t="s">
        <v>209</v>
      </c>
      <c r="C22" s="109" t="s">
        <v>325</v>
      </c>
      <c r="D22" s="226">
        <v>0</v>
      </c>
      <c r="E22" s="226">
        <v>0</v>
      </c>
      <c r="F22" s="226">
        <v>0</v>
      </c>
      <c r="G22" s="146"/>
      <c r="H22" s="146"/>
      <c r="I22" s="146"/>
      <c r="J22" s="117"/>
      <c r="L22" s="63">
        <f>SUM(D22:F22)</f>
        <v>0</v>
      </c>
      <c r="M22" s="63">
        <f>SUM(G22:I22)</f>
        <v>0</v>
      </c>
    </row>
    <row r="23" spans="1:14" s="30" customFormat="1" ht="16.5" thickBot="1" x14ac:dyDescent="0.3">
      <c r="A23" s="110" t="s">
        <v>23</v>
      </c>
      <c r="B23" s="111"/>
      <c r="C23" s="112"/>
      <c r="D23" s="113">
        <f t="shared" ref="D23:I23" si="3">SUM(D21:D22)</f>
        <v>0.7</v>
      </c>
      <c r="E23" s="113">
        <f t="shared" si="3"/>
        <v>0.7</v>
      </c>
      <c r="F23" s="113">
        <f t="shared" si="3"/>
        <v>0.7</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workbookViewId="0">
      <selection activeCell="L25" sqref="L2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104</v>
      </c>
      <c r="C10" s="106" t="s">
        <v>220</v>
      </c>
      <c r="D10" s="130">
        <v>4</v>
      </c>
      <c r="E10" s="130">
        <v>4</v>
      </c>
      <c r="F10" s="130">
        <v>4</v>
      </c>
      <c r="G10" s="143"/>
      <c r="H10" s="144"/>
      <c r="I10" s="145"/>
      <c r="J10" s="117"/>
      <c r="K10" s="127"/>
      <c r="L10" s="63">
        <f>SUM(D10:F10)</f>
        <v>12</v>
      </c>
      <c r="M10" s="63">
        <f t="shared" ref="M10:M15" si="0">SUM(G10:I10)</f>
        <v>0</v>
      </c>
    </row>
    <row r="11" spans="1:18" s="30" customFormat="1" ht="63" x14ac:dyDescent="0.25">
      <c r="A11" s="107" t="s">
        <v>51</v>
      </c>
      <c r="B11" s="108" t="s">
        <v>105</v>
      </c>
      <c r="C11" s="109" t="s">
        <v>124</v>
      </c>
      <c r="D11" s="130">
        <v>3.5297297297297296</v>
      </c>
      <c r="E11" s="130">
        <v>3.92972972972973</v>
      </c>
      <c r="F11" s="130">
        <v>3.92972972972973</v>
      </c>
      <c r="G11" s="146"/>
      <c r="H11" s="146"/>
      <c r="I11" s="146"/>
      <c r="J11" s="117"/>
      <c r="L11" s="63">
        <f>SUM(D11:F11)</f>
        <v>11.389189189189189</v>
      </c>
      <c r="M11" s="63">
        <f t="shared" si="0"/>
        <v>0</v>
      </c>
    </row>
    <row r="12" spans="1:18" s="30" customFormat="1" ht="63" x14ac:dyDescent="0.25">
      <c r="A12" s="107" t="s">
        <v>51</v>
      </c>
      <c r="B12" s="108" t="s">
        <v>222</v>
      </c>
      <c r="C12" s="109" t="s">
        <v>136</v>
      </c>
      <c r="D12" s="130">
        <v>3.5</v>
      </c>
      <c r="E12" s="130">
        <v>3.5</v>
      </c>
      <c r="F12" s="130">
        <v>3.5</v>
      </c>
      <c r="G12" s="147"/>
      <c r="H12" s="147"/>
      <c r="I12" s="147"/>
      <c r="J12" s="83"/>
      <c r="L12" s="63">
        <f>SUM(D12:F12)</f>
        <v>10.5</v>
      </c>
      <c r="M12" s="63">
        <f t="shared" si="0"/>
        <v>0</v>
      </c>
      <c r="R12" s="63">
        <f>AVERAGE(D16:F16)</f>
        <v>15.169729729729729</v>
      </c>
    </row>
    <row r="13" spans="1:18" s="30" customFormat="1" ht="15.75" x14ac:dyDescent="0.25">
      <c r="A13" s="107" t="s">
        <v>51</v>
      </c>
      <c r="B13" s="108" t="s">
        <v>106</v>
      </c>
      <c r="C13" s="109" t="s">
        <v>283</v>
      </c>
      <c r="D13" s="130">
        <v>1.1000000000000001</v>
      </c>
      <c r="E13" s="130">
        <v>1.05</v>
      </c>
      <c r="F13" s="130">
        <v>0.65</v>
      </c>
      <c r="G13" s="147"/>
      <c r="H13" s="148"/>
      <c r="I13" s="149"/>
      <c r="J13" s="118"/>
      <c r="L13" s="63">
        <f>SUM(D13:F13)</f>
        <v>2.8000000000000003</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109</v>
      </c>
      <c r="D15" s="131">
        <v>2.4</v>
      </c>
      <c r="E15" s="131">
        <v>2.91</v>
      </c>
      <c r="F15" s="131">
        <v>2.91</v>
      </c>
      <c r="G15" s="150"/>
      <c r="H15" s="150"/>
      <c r="I15" s="150"/>
      <c r="J15" s="118"/>
      <c r="L15" s="63">
        <f t="shared" si="1"/>
        <v>8.2200000000000006</v>
      </c>
      <c r="M15" s="63">
        <f t="shared" si="0"/>
        <v>0</v>
      </c>
    </row>
    <row r="16" spans="1:18" s="30" customFormat="1" ht="16.5" thickBot="1" x14ac:dyDescent="0.3">
      <c r="A16" s="110" t="s">
        <v>23</v>
      </c>
      <c r="B16" s="111"/>
      <c r="C16" s="112"/>
      <c r="D16" s="130">
        <f t="shared" ref="D16:I16" si="2">SUM(D10:D15)</f>
        <v>14.72972972972973</v>
      </c>
      <c r="E16" s="130">
        <f t="shared" si="2"/>
        <v>15.589729729729729</v>
      </c>
      <c r="F16" s="130">
        <f t="shared" si="2"/>
        <v>15.189729729729729</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225">
        <v>1.1499999999999999</v>
      </c>
      <c r="E21" s="225">
        <v>1.1499999999999999</v>
      </c>
      <c r="F21" s="225">
        <v>1.1499999999999999</v>
      </c>
      <c r="G21" s="143"/>
      <c r="H21" s="144"/>
      <c r="I21" s="145"/>
      <c r="J21" s="117"/>
      <c r="K21" s="127"/>
      <c r="L21" s="63">
        <f>SUM(D21:F21)</f>
        <v>3.4499999999999997</v>
      </c>
      <c r="M21" s="63">
        <f>SUM(G21:I21)</f>
        <v>0</v>
      </c>
    </row>
    <row r="22" spans="1:14" s="30" customFormat="1" ht="16.5" thickBot="1" x14ac:dyDescent="0.3">
      <c r="A22" s="107" t="s">
        <v>51</v>
      </c>
      <c r="B22" s="108" t="s">
        <v>209</v>
      </c>
      <c r="C22" s="109" t="s">
        <v>325</v>
      </c>
      <c r="D22" s="226">
        <v>0</v>
      </c>
      <c r="E22" s="226">
        <v>0</v>
      </c>
      <c r="F22" s="226">
        <v>0</v>
      </c>
      <c r="G22" s="146"/>
      <c r="H22" s="146"/>
      <c r="I22" s="146"/>
      <c r="J22" s="117"/>
      <c r="L22" s="63">
        <f>SUM(D22:F22)</f>
        <v>0</v>
      </c>
      <c r="M22" s="63">
        <f>SUM(G22:I22)</f>
        <v>0</v>
      </c>
    </row>
    <row r="23" spans="1:14" s="30" customFormat="1" ht="16.5" thickBot="1" x14ac:dyDescent="0.3">
      <c r="A23" s="110" t="s">
        <v>23</v>
      </c>
      <c r="B23" s="111"/>
      <c r="C23" s="112"/>
      <c r="D23" s="113">
        <f t="shared" ref="D23:I23" si="3">SUM(D21:D22)</f>
        <v>1.1499999999999999</v>
      </c>
      <c r="E23" s="113">
        <f t="shared" si="3"/>
        <v>1.1499999999999999</v>
      </c>
      <c r="F23" s="113">
        <f t="shared" si="3"/>
        <v>1.1499999999999999</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workbookViewId="0">
      <selection activeCell="G15" sqref="G1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63" x14ac:dyDescent="0.25">
      <c r="A10" s="104" t="s">
        <v>51</v>
      </c>
      <c r="B10" s="105" t="s">
        <v>104</v>
      </c>
      <c r="C10" s="106" t="s">
        <v>420</v>
      </c>
      <c r="D10" s="130">
        <v>4</v>
      </c>
      <c r="E10" s="130">
        <v>3.8</v>
      </c>
      <c r="F10" s="130">
        <v>3.8</v>
      </c>
      <c r="G10" s="143"/>
      <c r="H10" s="144"/>
      <c r="I10" s="145"/>
      <c r="J10" s="117"/>
      <c r="K10" s="127"/>
      <c r="L10" s="63">
        <f>SUM(D10:F10)</f>
        <v>11.6</v>
      </c>
      <c r="M10" s="63">
        <f t="shared" ref="M10:M15" si="0">SUM(G10:I10)</f>
        <v>0</v>
      </c>
    </row>
    <row r="11" spans="1:18" s="30" customFormat="1" ht="47.25" x14ac:dyDescent="0.25">
      <c r="A11" s="107" t="s">
        <v>51</v>
      </c>
      <c r="B11" s="108" t="s">
        <v>105</v>
      </c>
      <c r="C11" s="109" t="s">
        <v>418</v>
      </c>
      <c r="D11" s="130">
        <v>3.13</v>
      </c>
      <c r="E11" s="130">
        <v>3.13</v>
      </c>
      <c r="F11" s="130">
        <v>3.13</v>
      </c>
      <c r="G11" s="146"/>
      <c r="H11" s="146"/>
      <c r="I11" s="146"/>
      <c r="J11" s="117"/>
      <c r="L11" s="63">
        <f>SUM(D11:F11)</f>
        <v>9.39</v>
      </c>
      <c r="M11" s="63">
        <f t="shared" si="0"/>
        <v>0</v>
      </c>
    </row>
    <row r="12" spans="1:18" s="30" customFormat="1" ht="63" x14ac:dyDescent="0.25">
      <c r="A12" s="107" t="s">
        <v>51</v>
      </c>
      <c r="B12" s="108" t="s">
        <v>222</v>
      </c>
      <c r="C12" s="109" t="s">
        <v>419</v>
      </c>
      <c r="D12" s="130">
        <v>3.5</v>
      </c>
      <c r="E12" s="130">
        <v>3.1</v>
      </c>
      <c r="F12" s="130">
        <v>2.9</v>
      </c>
      <c r="G12" s="147"/>
      <c r="H12" s="147"/>
      <c r="I12" s="147"/>
      <c r="J12" s="83"/>
      <c r="L12" s="63">
        <f>SUM(D12:F12)</f>
        <v>9.5</v>
      </c>
      <c r="M12" s="63">
        <f t="shared" si="0"/>
        <v>0</v>
      </c>
      <c r="R12" s="63">
        <f>AVERAGE(D16:F16)</f>
        <v>14.056666666666667</v>
      </c>
    </row>
    <row r="13" spans="1:18" s="30" customFormat="1" ht="15.75" x14ac:dyDescent="0.25">
      <c r="A13" s="107" t="s">
        <v>51</v>
      </c>
      <c r="B13" s="108" t="s">
        <v>106</v>
      </c>
      <c r="C13" s="109" t="s">
        <v>417</v>
      </c>
      <c r="D13" s="130">
        <v>0.65</v>
      </c>
      <c r="E13" s="130">
        <v>0.65</v>
      </c>
      <c r="F13" s="130">
        <v>1.1499999999999999</v>
      </c>
      <c r="G13" s="147"/>
      <c r="H13" s="148"/>
      <c r="I13" s="149"/>
      <c r="J13" s="118"/>
      <c r="L13" s="63">
        <f>SUM(D13:F13)</f>
        <v>2.4500000000000002</v>
      </c>
      <c r="M13" s="63">
        <f t="shared" si="0"/>
        <v>0</v>
      </c>
    </row>
    <row r="14" spans="1:18" s="30" customFormat="1" ht="15.75" x14ac:dyDescent="0.25">
      <c r="A14" s="107" t="s">
        <v>51</v>
      </c>
      <c r="B14" s="108" t="s">
        <v>50</v>
      </c>
      <c r="C14" s="109" t="s">
        <v>70</v>
      </c>
      <c r="D14" s="130">
        <v>0.2</v>
      </c>
      <c r="E14" s="130">
        <v>0.2</v>
      </c>
      <c r="F14" s="130">
        <v>0.7</v>
      </c>
      <c r="G14" s="147"/>
      <c r="H14" s="147"/>
      <c r="I14" s="147"/>
      <c r="J14" s="118"/>
      <c r="L14" s="63">
        <f t="shared" ref="L14:L15" si="1">SUM(D14:F14)</f>
        <v>1.1000000000000001</v>
      </c>
      <c r="M14" s="63">
        <f t="shared" si="0"/>
        <v>0</v>
      </c>
    </row>
    <row r="15" spans="1:18" s="30" customFormat="1" ht="16.5" thickBot="1" x14ac:dyDescent="0.3">
      <c r="A15" s="107" t="s">
        <v>51</v>
      </c>
      <c r="B15" s="108" t="s">
        <v>59</v>
      </c>
      <c r="C15" s="109" t="s">
        <v>416</v>
      </c>
      <c r="D15" s="131">
        <v>2.91</v>
      </c>
      <c r="E15" s="131">
        <v>2.91</v>
      </c>
      <c r="F15" s="131">
        <v>2.31</v>
      </c>
      <c r="G15" s="150"/>
      <c r="H15" s="150"/>
      <c r="I15" s="150"/>
      <c r="J15" s="118"/>
      <c r="L15" s="63">
        <f t="shared" si="1"/>
        <v>8.1300000000000008</v>
      </c>
      <c r="M15" s="63">
        <f t="shared" si="0"/>
        <v>0</v>
      </c>
    </row>
    <row r="16" spans="1:18" s="30" customFormat="1" ht="16.5" thickBot="1" x14ac:dyDescent="0.3">
      <c r="A16" s="110" t="s">
        <v>23</v>
      </c>
      <c r="B16" s="111"/>
      <c r="C16" s="112"/>
      <c r="D16" s="130">
        <f t="shared" ref="D16:I16" si="2">SUM(D10:D15)</f>
        <v>14.389999999999999</v>
      </c>
      <c r="E16" s="130">
        <f t="shared" si="2"/>
        <v>13.79</v>
      </c>
      <c r="F16" s="130">
        <f t="shared" si="2"/>
        <v>13.99</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225">
        <v>0.2</v>
      </c>
      <c r="E21" s="225">
        <v>0.2</v>
      </c>
      <c r="F21" s="225">
        <v>0.2</v>
      </c>
      <c r="G21" s="143"/>
      <c r="H21" s="144"/>
      <c r="I21" s="145"/>
      <c r="J21" s="117"/>
      <c r="K21" s="127"/>
      <c r="L21" s="63">
        <f>SUM(D21:F21)</f>
        <v>0.60000000000000009</v>
      </c>
      <c r="M21" s="63">
        <f>SUM(G21:I21)</f>
        <v>0</v>
      </c>
    </row>
    <row r="22" spans="1:14" s="30" customFormat="1" ht="16.5" thickBot="1" x14ac:dyDescent="0.3">
      <c r="A22" s="107" t="s">
        <v>51</v>
      </c>
      <c r="B22" s="108" t="s">
        <v>209</v>
      </c>
      <c r="C22" s="109" t="s">
        <v>325</v>
      </c>
      <c r="D22" s="226">
        <v>0.3</v>
      </c>
      <c r="E22" s="226">
        <v>0.3</v>
      </c>
      <c r="F22" s="226">
        <v>0.3</v>
      </c>
      <c r="G22" s="146"/>
      <c r="H22" s="146"/>
      <c r="I22" s="146"/>
      <c r="J22" s="117"/>
      <c r="L22" s="63">
        <f>SUM(D22:F22)</f>
        <v>0.89999999999999991</v>
      </c>
      <c r="M22" s="63">
        <f>SUM(G22:I22)</f>
        <v>0</v>
      </c>
    </row>
    <row r="23" spans="1:14" s="30" customFormat="1" ht="16.5" thickBot="1" x14ac:dyDescent="0.3">
      <c r="A23" s="110" t="s">
        <v>23</v>
      </c>
      <c r="B23" s="111"/>
      <c r="C23" s="112"/>
      <c r="D23" s="113">
        <f t="shared" ref="D23:I23" si="3">SUM(D21:D22)</f>
        <v>0.5</v>
      </c>
      <c r="E23" s="113">
        <f t="shared" si="3"/>
        <v>0.5</v>
      </c>
      <c r="F23" s="113">
        <f t="shared" si="3"/>
        <v>0.5</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workbookViewId="0">
      <selection activeCell="G3" sqref="G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Q218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408</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59" t="s">
        <v>6</v>
      </c>
      <c r="E8" s="260"/>
      <c r="F8" s="261"/>
      <c r="G8" s="260" t="s">
        <v>7</v>
      </c>
      <c r="H8" s="260"/>
      <c r="I8" s="261"/>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63" x14ac:dyDescent="0.25">
      <c r="A10" s="104" t="s">
        <v>51</v>
      </c>
      <c r="B10" s="105" t="s">
        <v>104</v>
      </c>
      <c r="C10" s="106" t="s">
        <v>420</v>
      </c>
      <c r="D10" s="130">
        <v>4.13</v>
      </c>
      <c r="E10" s="130">
        <v>4.13</v>
      </c>
      <c r="F10" s="130">
        <v>4.13</v>
      </c>
      <c r="G10" s="143"/>
      <c r="H10" s="144"/>
      <c r="I10" s="145"/>
      <c r="J10" s="117"/>
      <c r="K10" s="127"/>
      <c r="L10" s="63">
        <f>SUM(D10:F10)</f>
        <v>12.39</v>
      </c>
      <c r="M10" s="63">
        <f t="shared" ref="M10:M15" si="0">SUM(G10:I10)</f>
        <v>0</v>
      </c>
    </row>
    <row r="11" spans="1:18" s="30" customFormat="1" ht="47.25" x14ac:dyDescent="0.25">
      <c r="A11" s="107" t="s">
        <v>51</v>
      </c>
      <c r="B11" s="108" t="s">
        <v>105</v>
      </c>
      <c r="C11" s="109" t="s">
        <v>418</v>
      </c>
      <c r="D11" s="130">
        <v>2.92</v>
      </c>
      <c r="E11" s="130">
        <v>2.92</v>
      </c>
      <c r="F11" s="130">
        <v>2.92</v>
      </c>
      <c r="G11" s="146"/>
      <c r="H11" s="146"/>
      <c r="I11" s="146"/>
      <c r="J11" s="117"/>
      <c r="L11" s="63">
        <f>SUM(D11:F11)</f>
        <v>8.76</v>
      </c>
      <c r="M11" s="63">
        <f>SUM(G11:I11)</f>
        <v>0</v>
      </c>
    </row>
    <row r="12" spans="1:18" s="30" customFormat="1" ht="63" x14ac:dyDescent="0.25">
      <c r="A12" s="107" t="s">
        <v>51</v>
      </c>
      <c r="B12" s="108" t="s">
        <v>222</v>
      </c>
      <c r="C12" s="109" t="s">
        <v>419</v>
      </c>
      <c r="D12" s="130">
        <v>4.3499999999999996</v>
      </c>
      <c r="E12" s="130">
        <v>4.3499999999999996</v>
      </c>
      <c r="F12" s="130">
        <v>4.3499999999999996</v>
      </c>
      <c r="G12" s="147"/>
      <c r="H12" s="147"/>
      <c r="I12" s="147"/>
      <c r="J12" s="83"/>
      <c r="L12" s="63">
        <f>SUM(D12:F12)</f>
        <v>13.049999999999999</v>
      </c>
      <c r="M12" s="63">
        <f t="shared" si="0"/>
        <v>0</v>
      </c>
      <c r="R12" s="63">
        <f>AVERAGE(D16:F16)</f>
        <v>15.74</v>
      </c>
    </row>
    <row r="13" spans="1:18" s="30" customFormat="1" ht="31.5" x14ac:dyDescent="0.25">
      <c r="A13" s="107" t="s">
        <v>51</v>
      </c>
      <c r="B13" s="108" t="s">
        <v>106</v>
      </c>
      <c r="C13" s="109" t="s">
        <v>452</v>
      </c>
      <c r="D13" s="130">
        <v>1.1000000000000001</v>
      </c>
      <c r="E13" s="130">
        <v>1.1000000000000001</v>
      </c>
      <c r="F13" s="130">
        <v>1.1000000000000001</v>
      </c>
      <c r="G13" s="147"/>
      <c r="H13" s="148"/>
      <c r="I13" s="149"/>
      <c r="J13" s="118"/>
      <c r="L13" s="63">
        <f>SUM(D13:F13)</f>
        <v>3.3000000000000003</v>
      </c>
      <c r="M13" s="63">
        <f t="shared" si="0"/>
        <v>0</v>
      </c>
    </row>
    <row r="14" spans="1:18" s="30" customFormat="1" ht="15.75" x14ac:dyDescent="0.25">
      <c r="A14" s="107" t="s">
        <v>51</v>
      </c>
      <c r="B14" s="108" t="s">
        <v>50</v>
      </c>
      <c r="C14" s="109" t="s">
        <v>451</v>
      </c>
      <c r="D14" s="130">
        <v>1</v>
      </c>
      <c r="E14" s="130">
        <v>1</v>
      </c>
      <c r="F14" s="130">
        <v>1</v>
      </c>
      <c r="G14" s="147"/>
      <c r="H14" s="147"/>
      <c r="I14" s="147"/>
      <c r="J14" s="118"/>
      <c r="L14" s="63">
        <f t="shared" ref="L14:L15" si="1">SUM(D14:F14)</f>
        <v>3</v>
      </c>
      <c r="M14" s="63">
        <f t="shared" si="0"/>
        <v>0</v>
      </c>
    </row>
    <row r="15" spans="1:18" s="30" customFormat="1" ht="16.5" thickBot="1" x14ac:dyDescent="0.3">
      <c r="A15" s="107" t="s">
        <v>51</v>
      </c>
      <c r="B15" s="108" t="s">
        <v>59</v>
      </c>
      <c r="C15" s="109" t="s">
        <v>416</v>
      </c>
      <c r="D15" s="131">
        <v>2.2400000000000002</v>
      </c>
      <c r="E15" s="131">
        <v>2.2400000000000002</v>
      </c>
      <c r="F15" s="131">
        <v>2.2400000000000002</v>
      </c>
      <c r="G15" s="150"/>
      <c r="H15" s="150"/>
      <c r="I15" s="150"/>
      <c r="J15" s="118"/>
      <c r="L15" s="63">
        <f t="shared" si="1"/>
        <v>6.7200000000000006</v>
      </c>
      <c r="M15" s="63">
        <f t="shared" si="0"/>
        <v>0</v>
      </c>
    </row>
    <row r="16" spans="1:18" s="30" customFormat="1" ht="16.5" thickBot="1" x14ac:dyDescent="0.3">
      <c r="A16" s="110" t="s">
        <v>23</v>
      </c>
      <c r="B16" s="111"/>
      <c r="C16" s="112"/>
      <c r="D16" s="130">
        <f t="shared" ref="D16:I16" si="2">SUM(D10:D15)</f>
        <v>15.739999999999998</v>
      </c>
      <c r="E16" s="130">
        <f t="shared" si="2"/>
        <v>15.739999999999998</v>
      </c>
      <c r="F16" s="130">
        <f t="shared" si="2"/>
        <v>15.739999999999998</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59" t="s">
        <v>6</v>
      </c>
      <c r="E19" s="260"/>
      <c r="F19" s="261"/>
      <c r="G19" s="260" t="s">
        <v>7</v>
      </c>
      <c r="H19" s="260"/>
      <c r="I19" s="261"/>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208</v>
      </c>
      <c r="C21" s="106" t="s">
        <v>224</v>
      </c>
      <c r="D21" s="225">
        <v>0.05</v>
      </c>
      <c r="E21" s="225">
        <v>0.05</v>
      </c>
      <c r="F21" s="225">
        <v>0.45</v>
      </c>
      <c r="G21" s="143"/>
      <c r="H21" s="144"/>
      <c r="I21" s="145"/>
      <c r="J21" s="117"/>
      <c r="K21" s="127"/>
      <c r="L21" s="63">
        <f>SUM(D21:F21)</f>
        <v>0.55000000000000004</v>
      </c>
      <c r="M21" s="63">
        <f>SUM(G21:I21)</f>
        <v>0</v>
      </c>
    </row>
    <row r="22" spans="1:14" s="30" customFormat="1" ht="16.5" thickBot="1" x14ac:dyDescent="0.3">
      <c r="A22" s="107" t="s">
        <v>51</v>
      </c>
      <c r="B22" s="108" t="s">
        <v>209</v>
      </c>
      <c r="C22" s="109" t="s">
        <v>325</v>
      </c>
      <c r="D22" s="226"/>
      <c r="E22" s="226"/>
      <c r="F22" s="226"/>
      <c r="G22" s="146"/>
      <c r="H22" s="146"/>
      <c r="I22" s="146"/>
      <c r="J22" s="117"/>
      <c r="L22" s="63">
        <f>SUM(D22:F22)</f>
        <v>0</v>
      </c>
      <c r="M22" s="63">
        <f>SUM(G22:I22)</f>
        <v>0</v>
      </c>
    </row>
    <row r="23" spans="1:14" s="30" customFormat="1" ht="16.5" thickBot="1" x14ac:dyDescent="0.3">
      <c r="A23" s="110" t="s">
        <v>23</v>
      </c>
      <c r="B23" s="111"/>
      <c r="C23" s="112"/>
      <c r="D23" s="113">
        <f t="shared" ref="D23:I23" si="3">SUM(D21:D22)</f>
        <v>0.05</v>
      </c>
      <c r="E23" s="113">
        <f t="shared" si="3"/>
        <v>0.05</v>
      </c>
      <c r="F23" s="113">
        <f t="shared" si="3"/>
        <v>0.45</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t="s">
        <v>438</v>
      </c>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138</v>
      </c>
      <c r="B28" s="114"/>
      <c r="C28" s="114"/>
      <c r="D28" s="114"/>
      <c r="E28" s="114"/>
      <c r="F28" s="114"/>
      <c r="G28" s="114"/>
      <c r="H28" s="114"/>
      <c r="I28" s="114"/>
      <c r="J28" s="114"/>
      <c r="K28" s="114"/>
    </row>
    <row r="29" spans="1:14" ht="15" x14ac:dyDescent="0.2">
      <c r="A29" s="114" t="s">
        <v>137</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workbookViewId="0">
      <selection activeCell="B10" sqref="B10:F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Q218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68" t="s">
        <v>11</v>
      </c>
      <c r="C8" s="269"/>
      <c r="D8" s="269"/>
      <c r="E8" s="269"/>
      <c r="F8" s="270"/>
      <c r="G8" s="269" t="s">
        <v>12</v>
      </c>
      <c r="H8" s="269"/>
      <c r="I8" s="269"/>
      <c r="J8" s="269"/>
      <c r="K8" s="270"/>
    </row>
    <row r="9" spans="1:14" ht="122.25" customHeight="1" x14ac:dyDescent="0.2">
      <c r="A9" s="57" t="s">
        <v>56</v>
      </c>
      <c r="B9" s="271"/>
      <c r="C9" s="272"/>
      <c r="D9" s="272"/>
      <c r="E9" s="272"/>
      <c r="F9" s="272"/>
      <c r="G9" s="273"/>
      <c r="H9" s="273"/>
      <c r="I9" s="273"/>
      <c r="J9" s="273"/>
      <c r="K9" s="274"/>
      <c r="N9" s="142"/>
    </row>
    <row r="10" spans="1:14" ht="217.5" customHeight="1" x14ac:dyDescent="0.2">
      <c r="A10" s="58" t="s">
        <v>50</v>
      </c>
      <c r="B10" s="275" t="s">
        <v>254</v>
      </c>
      <c r="C10" s="276"/>
      <c r="D10" s="276"/>
      <c r="E10" s="276"/>
      <c r="F10" s="276"/>
      <c r="G10" s="277" t="s">
        <v>253</v>
      </c>
      <c r="H10" s="277"/>
      <c r="I10" s="277"/>
      <c r="J10" s="277"/>
      <c r="K10" s="278"/>
    </row>
    <row r="11" spans="1:14" ht="143.25" customHeight="1" x14ac:dyDescent="0.2">
      <c r="A11" s="58" t="s">
        <v>48</v>
      </c>
      <c r="B11" s="275"/>
      <c r="C11" s="276"/>
      <c r="D11" s="276"/>
      <c r="E11" s="276"/>
      <c r="F11" s="276"/>
      <c r="G11" s="277"/>
      <c r="H11" s="277"/>
      <c r="I11" s="277"/>
      <c r="J11" s="277"/>
      <c r="K11" s="278"/>
    </row>
    <row r="12" spans="1:14" ht="241.5" customHeight="1" x14ac:dyDescent="0.2">
      <c r="A12" s="58" t="s">
        <v>58</v>
      </c>
      <c r="B12" s="275" t="s">
        <v>252</v>
      </c>
      <c r="C12" s="276"/>
      <c r="D12" s="276"/>
      <c r="E12" s="276"/>
      <c r="F12" s="276"/>
      <c r="G12" s="277"/>
      <c r="H12" s="277"/>
      <c r="I12" s="277"/>
      <c r="J12" s="277"/>
      <c r="K12" s="278"/>
    </row>
    <row r="13" spans="1:14" ht="243.75" customHeight="1" x14ac:dyDescent="0.2">
      <c r="A13" s="58" t="s">
        <v>57</v>
      </c>
      <c r="B13" s="275" t="s">
        <v>247</v>
      </c>
      <c r="C13" s="276"/>
      <c r="D13" s="276"/>
      <c r="E13" s="276"/>
      <c r="F13" s="276"/>
      <c r="G13" s="276" t="s">
        <v>258</v>
      </c>
      <c r="H13" s="276"/>
      <c r="I13" s="276"/>
      <c r="J13" s="276"/>
      <c r="K13" s="279"/>
    </row>
    <row r="14" spans="1:14" ht="243.75" customHeight="1" x14ac:dyDescent="0.2">
      <c r="A14" s="58" t="s">
        <v>246</v>
      </c>
      <c r="B14" s="348" t="s">
        <v>257</v>
      </c>
      <c r="C14" s="349"/>
      <c r="D14" s="349"/>
      <c r="E14" s="349"/>
      <c r="F14" s="350"/>
      <c r="G14" s="351" t="s">
        <v>248</v>
      </c>
      <c r="H14" s="349"/>
      <c r="I14" s="349"/>
      <c r="J14" s="349"/>
      <c r="K14" s="352"/>
    </row>
    <row r="15" spans="1:14" ht="129.75" customHeight="1" x14ac:dyDescent="0.2">
      <c r="A15" s="58" t="s">
        <v>72</v>
      </c>
      <c r="B15" s="275" t="s">
        <v>255</v>
      </c>
      <c r="C15" s="276"/>
      <c r="D15" s="276"/>
      <c r="E15" s="276"/>
      <c r="F15" s="276"/>
      <c r="G15" s="276"/>
      <c r="H15" s="276"/>
      <c r="I15" s="276"/>
      <c r="J15" s="276"/>
      <c r="K15" s="279"/>
    </row>
    <row r="16" spans="1:14" ht="134.25" customHeight="1" x14ac:dyDescent="0.2">
      <c r="A16" s="59" t="s">
        <v>68</v>
      </c>
      <c r="B16" s="275" t="s">
        <v>256</v>
      </c>
      <c r="C16" s="276"/>
      <c r="D16" s="276"/>
      <c r="E16" s="276"/>
      <c r="F16" s="276"/>
      <c r="G16" s="276" t="s">
        <v>250</v>
      </c>
      <c r="H16" s="276"/>
      <c r="I16" s="276"/>
      <c r="J16" s="276"/>
      <c r="K16" s="279"/>
    </row>
    <row r="17" spans="1:11" ht="212.25" customHeight="1" x14ac:dyDescent="0.2">
      <c r="A17" s="58" t="s">
        <v>1</v>
      </c>
      <c r="B17" s="275"/>
      <c r="C17" s="276"/>
      <c r="D17" s="276"/>
      <c r="E17" s="276"/>
      <c r="F17" s="276"/>
      <c r="G17" s="276"/>
      <c r="H17" s="276"/>
      <c r="I17" s="276"/>
      <c r="J17" s="276"/>
      <c r="K17" s="279"/>
    </row>
    <row r="18" spans="1:11" ht="158.25" customHeight="1" x14ac:dyDescent="0.2">
      <c r="A18" s="58" t="s">
        <v>49</v>
      </c>
      <c r="B18" s="275" t="s">
        <v>251</v>
      </c>
      <c r="C18" s="276"/>
      <c r="D18" s="276"/>
      <c r="E18" s="276"/>
      <c r="F18" s="276"/>
      <c r="G18" s="276"/>
      <c r="H18" s="276"/>
      <c r="I18" s="276"/>
      <c r="J18" s="276"/>
      <c r="K18" s="279"/>
    </row>
    <row r="19" spans="1:11" ht="146.25" customHeight="1" thickBot="1" x14ac:dyDescent="0.25">
      <c r="A19" s="60" t="s">
        <v>107</v>
      </c>
      <c r="B19" s="285" t="s">
        <v>249</v>
      </c>
      <c r="C19" s="286"/>
      <c r="D19" s="286"/>
      <c r="E19" s="286"/>
      <c r="F19" s="287"/>
      <c r="G19" s="288"/>
      <c r="H19" s="286"/>
      <c r="I19" s="286"/>
      <c r="J19" s="286"/>
      <c r="K19" s="289"/>
    </row>
    <row r="20" spans="1:11" ht="146.25" customHeight="1" thickBot="1" x14ac:dyDescent="0.25">
      <c r="A20" s="60" t="s">
        <v>108</v>
      </c>
      <c r="B20" s="290"/>
      <c r="C20" s="291"/>
      <c r="D20" s="291"/>
      <c r="E20" s="291"/>
      <c r="F20" s="292"/>
      <c r="G20" s="191"/>
      <c r="H20" s="192"/>
      <c r="I20" s="192"/>
      <c r="J20" s="192"/>
      <c r="K20" s="193"/>
    </row>
    <row r="21" spans="1:11" ht="146.25" customHeight="1" thickBot="1" x14ac:dyDescent="0.25">
      <c r="A21" s="60" t="s">
        <v>208</v>
      </c>
      <c r="B21" s="280" t="s">
        <v>287</v>
      </c>
      <c r="C21" s="281"/>
      <c r="D21" s="281"/>
      <c r="E21" s="281"/>
      <c r="F21" s="282"/>
      <c r="G21" s="283" t="s">
        <v>288</v>
      </c>
      <c r="H21" s="281"/>
      <c r="I21" s="281"/>
      <c r="J21" s="281"/>
      <c r="K21" s="284"/>
    </row>
    <row r="22" spans="1:11" ht="180" customHeight="1" thickBot="1" x14ac:dyDescent="0.25">
      <c r="A22" s="60" t="s">
        <v>209</v>
      </c>
      <c r="B22" s="285" t="s">
        <v>285</v>
      </c>
      <c r="C22" s="286"/>
      <c r="D22" s="286"/>
      <c r="E22" s="286"/>
      <c r="F22" s="287"/>
      <c r="G22" s="288" t="s">
        <v>284</v>
      </c>
      <c r="H22" s="286"/>
      <c r="I22" s="286"/>
      <c r="J22" s="286"/>
      <c r="K22" s="28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93" t="s">
        <v>14</v>
      </c>
      <c r="B26" s="294"/>
      <c r="C26" s="294"/>
      <c r="D26" s="294"/>
      <c r="E26" s="294"/>
      <c r="F26" s="294" t="s">
        <v>16</v>
      </c>
      <c r="G26" s="294"/>
      <c r="H26" s="294"/>
      <c r="I26" s="294"/>
      <c r="J26" s="295"/>
    </row>
    <row r="27" spans="1:11" ht="81" customHeight="1" thickBot="1" x14ac:dyDescent="0.25">
      <c r="A27" s="262" t="s">
        <v>125</v>
      </c>
      <c r="B27" s="296"/>
      <c r="C27" s="296"/>
      <c r="D27" s="296"/>
      <c r="E27" s="297"/>
      <c r="F27" s="298" t="s">
        <v>126</v>
      </c>
      <c r="G27" s="296"/>
      <c r="H27" s="296"/>
      <c r="I27" s="296"/>
      <c r="J27" s="299"/>
    </row>
    <row r="28" spans="1:11" ht="13.5" thickBot="1" x14ac:dyDescent="0.25">
      <c r="A28" s="300"/>
      <c r="B28" s="301"/>
      <c r="C28" s="301"/>
      <c r="D28" s="301"/>
      <c r="E28" s="302"/>
      <c r="F28" s="303"/>
      <c r="G28" s="303"/>
      <c r="H28" s="303"/>
      <c r="I28" s="303"/>
      <c r="J28" s="304"/>
    </row>
    <row r="30" spans="1:11" ht="13.5" thickBot="1" x14ac:dyDescent="0.25">
      <c r="A30" s="1" t="s">
        <v>43</v>
      </c>
    </row>
    <row r="31" spans="1:11" ht="13.5" thickBot="1" x14ac:dyDescent="0.25">
      <c r="A31" s="293" t="s">
        <v>14</v>
      </c>
      <c r="B31" s="294"/>
      <c r="C31" s="294"/>
      <c r="D31" s="294"/>
      <c r="E31" s="294"/>
      <c r="F31" s="294" t="s">
        <v>16</v>
      </c>
      <c r="G31" s="294"/>
      <c r="H31" s="294"/>
      <c r="I31" s="294"/>
      <c r="J31" s="295"/>
    </row>
    <row r="32" spans="1:11" ht="57" customHeight="1" thickBot="1" x14ac:dyDescent="0.25">
      <c r="A32" s="305" t="s">
        <v>215</v>
      </c>
      <c r="B32" s="306"/>
      <c r="C32" s="306"/>
      <c r="D32" s="306"/>
      <c r="E32" s="306"/>
      <c r="F32" s="306" t="s">
        <v>216</v>
      </c>
      <c r="G32" s="306"/>
      <c r="H32" s="306"/>
      <c r="I32" s="306"/>
      <c r="J32" s="307"/>
    </row>
    <row r="33" spans="1:15" ht="156" customHeight="1" thickBot="1" x14ac:dyDescent="0.25">
      <c r="A33" s="314" t="s">
        <v>131</v>
      </c>
      <c r="B33" s="315"/>
      <c r="C33" s="315"/>
      <c r="D33" s="315"/>
      <c r="E33" s="315"/>
      <c r="F33" s="316" t="s">
        <v>267</v>
      </c>
      <c r="G33" s="317"/>
      <c r="H33" s="317"/>
      <c r="I33" s="317"/>
      <c r="J33" s="318"/>
    </row>
    <row r="34" spans="1:15" ht="93" customHeight="1" thickBot="1" x14ac:dyDescent="0.25">
      <c r="A34" s="314" t="s">
        <v>129</v>
      </c>
      <c r="B34" s="315"/>
      <c r="C34" s="315"/>
      <c r="D34" s="315"/>
      <c r="E34" s="315"/>
      <c r="F34" s="316" t="s">
        <v>140</v>
      </c>
      <c r="G34" s="317"/>
      <c r="H34" s="317"/>
      <c r="I34" s="317"/>
      <c r="J34" s="318"/>
    </row>
    <row r="35" spans="1:15" ht="93" customHeight="1" thickBot="1" x14ac:dyDescent="0.25">
      <c r="A35" s="262" t="s">
        <v>268</v>
      </c>
      <c r="B35" s="263"/>
      <c r="C35" s="263"/>
      <c r="D35" s="263"/>
      <c r="E35" s="264"/>
      <c r="F35" s="265" t="s">
        <v>269</v>
      </c>
      <c r="G35" s="266"/>
      <c r="H35" s="266"/>
      <c r="I35" s="266"/>
      <c r="J35" s="267"/>
    </row>
    <row r="36" spans="1:15" ht="93" customHeight="1" thickBot="1" x14ac:dyDescent="0.25">
      <c r="A36" s="262" t="s">
        <v>272</v>
      </c>
      <c r="B36" s="263"/>
      <c r="C36" s="263"/>
      <c r="D36" s="263"/>
      <c r="E36" s="264"/>
      <c r="F36" s="265" t="s">
        <v>273</v>
      </c>
      <c r="G36" s="266"/>
      <c r="H36" s="266"/>
      <c r="I36" s="266"/>
      <c r="J36" s="267"/>
    </row>
    <row r="37" spans="1:15" ht="93" customHeight="1" thickBot="1" x14ac:dyDescent="0.25">
      <c r="A37" s="262" t="s">
        <v>270</v>
      </c>
      <c r="B37" s="263"/>
      <c r="C37" s="263"/>
      <c r="D37" s="263"/>
      <c r="E37" s="264"/>
      <c r="F37" s="265" t="s">
        <v>271</v>
      </c>
      <c r="G37" s="266"/>
      <c r="H37" s="266"/>
      <c r="I37" s="266"/>
      <c r="J37" s="267"/>
    </row>
    <row r="38" spans="1:15" ht="135" customHeight="1" thickBot="1" x14ac:dyDescent="0.25">
      <c r="A38" s="314" t="s">
        <v>127</v>
      </c>
      <c r="B38" s="315"/>
      <c r="C38" s="315"/>
      <c r="D38" s="315"/>
      <c r="E38" s="315"/>
      <c r="F38" s="316" t="s">
        <v>128</v>
      </c>
      <c r="G38" s="317"/>
      <c r="H38" s="317"/>
      <c r="I38" s="317"/>
      <c r="J38" s="318"/>
    </row>
    <row r="39" spans="1:15" ht="166.5" customHeight="1" thickBot="1" x14ac:dyDescent="0.25">
      <c r="A39" s="262" t="s">
        <v>210</v>
      </c>
      <c r="B39" s="296"/>
      <c r="C39" s="296"/>
      <c r="D39" s="296"/>
      <c r="E39" s="297"/>
      <c r="F39" s="298" t="s">
        <v>211</v>
      </c>
      <c r="G39" s="296"/>
      <c r="H39" s="296"/>
      <c r="I39" s="296"/>
      <c r="J39" s="299"/>
    </row>
    <row r="41" spans="1:15" ht="13.5" thickBot="1" x14ac:dyDescent="0.25">
      <c r="A41" s="1" t="s">
        <v>17</v>
      </c>
    </row>
    <row r="42" spans="1:15" ht="13.5" thickBot="1" x14ac:dyDescent="0.25">
      <c r="A42" s="293" t="s">
        <v>18</v>
      </c>
      <c r="B42" s="294"/>
      <c r="C42" s="294"/>
      <c r="D42" s="294"/>
      <c r="E42" s="294"/>
      <c r="F42" s="319" t="s">
        <v>19</v>
      </c>
      <c r="G42" s="320"/>
      <c r="H42" s="319" t="s">
        <v>20</v>
      </c>
      <c r="I42" s="294"/>
      <c r="J42" s="294"/>
      <c r="K42" s="294"/>
      <c r="L42" s="295"/>
    </row>
    <row r="43" spans="1:15" ht="42.75" customHeight="1" thickBot="1" x14ac:dyDescent="0.25">
      <c r="A43" s="308" t="s">
        <v>219</v>
      </c>
      <c r="B43" s="309"/>
      <c r="C43" s="309"/>
      <c r="D43" s="309"/>
      <c r="E43" s="309"/>
      <c r="F43" s="310" t="s">
        <v>214</v>
      </c>
      <c r="G43" s="311"/>
      <c r="H43" s="298" t="s">
        <v>259</v>
      </c>
      <c r="I43" s="312"/>
      <c r="J43" s="312"/>
      <c r="K43" s="312"/>
      <c r="L43" s="313"/>
    </row>
    <row r="44" spans="1:15" ht="42.75" customHeight="1" thickBot="1" x14ac:dyDescent="0.25">
      <c r="A44" s="308"/>
      <c r="B44" s="309"/>
      <c r="C44" s="309"/>
      <c r="D44" s="309"/>
      <c r="E44" s="309"/>
      <c r="F44" s="321"/>
      <c r="G44" s="311"/>
      <c r="H44" s="298"/>
      <c r="I44" s="263"/>
      <c r="J44" s="263"/>
      <c r="K44" s="263"/>
      <c r="L44" s="322"/>
    </row>
    <row r="45" spans="1:15" ht="12" customHeight="1" thickBot="1" x14ac:dyDescent="0.25">
      <c r="A45" s="54"/>
      <c r="B45" s="189"/>
      <c r="C45" s="189"/>
      <c r="D45" s="189"/>
      <c r="E45" s="190"/>
      <c r="F45" s="185"/>
      <c r="G45" s="186"/>
      <c r="H45" s="53"/>
      <c r="I45" s="187"/>
      <c r="J45" s="187"/>
      <c r="K45" s="187"/>
      <c r="L45" s="188"/>
    </row>
    <row r="46" spans="1:15" ht="24.75" customHeight="1" x14ac:dyDescent="0.2">
      <c r="O46" s="32"/>
    </row>
    <row r="47" spans="1:15" ht="24.75" customHeight="1" thickBot="1" x14ac:dyDescent="0.25">
      <c r="A47" s="1" t="s">
        <v>21</v>
      </c>
      <c r="O47" s="32"/>
    </row>
    <row r="48" spans="1:15" ht="24.75" customHeight="1" thickBot="1" x14ac:dyDescent="0.25">
      <c r="A48" s="293" t="s">
        <v>18</v>
      </c>
      <c r="B48" s="294"/>
      <c r="C48" s="294"/>
      <c r="D48" s="294"/>
      <c r="E48" s="294"/>
      <c r="F48" s="319" t="s">
        <v>19</v>
      </c>
      <c r="G48" s="320"/>
      <c r="H48" s="323" t="s">
        <v>67</v>
      </c>
      <c r="I48" s="324"/>
      <c r="J48" s="324"/>
      <c r="K48" s="324"/>
      <c r="L48" s="325"/>
      <c r="O48" s="32"/>
    </row>
    <row r="49" spans="1:15" ht="115.5" customHeight="1" thickBot="1" x14ac:dyDescent="0.25">
      <c r="A49" s="332" t="s">
        <v>260</v>
      </c>
      <c r="B49" s="333"/>
      <c r="C49" s="333"/>
      <c r="D49" s="333"/>
      <c r="E49" s="333"/>
      <c r="F49" s="334" t="s">
        <v>263</v>
      </c>
      <c r="G49" s="335"/>
      <c r="H49" s="298" t="s">
        <v>266</v>
      </c>
      <c r="I49" s="296"/>
      <c r="J49" s="296"/>
      <c r="K49" s="296"/>
      <c r="L49" s="299"/>
    </row>
    <row r="50" spans="1:15" ht="115.5" customHeight="1" thickBot="1" x14ac:dyDescent="0.25">
      <c r="A50" s="336" t="s">
        <v>261</v>
      </c>
      <c r="B50" s="337"/>
      <c r="C50" s="337"/>
      <c r="D50" s="337"/>
      <c r="E50" s="337"/>
      <c r="F50" s="338" t="s">
        <v>264</v>
      </c>
      <c r="G50" s="339"/>
      <c r="H50" s="340"/>
      <c r="I50" s="341"/>
      <c r="J50" s="341"/>
      <c r="K50" s="341"/>
      <c r="L50" s="342"/>
    </row>
    <row r="51" spans="1:15" ht="115.5" customHeight="1" thickBot="1" x14ac:dyDescent="0.25">
      <c r="A51" s="308" t="s">
        <v>262</v>
      </c>
      <c r="B51" s="309"/>
      <c r="C51" s="309"/>
      <c r="D51" s="309"/>
      <c r="E51" s="309"/>
      <c r="F51" s="310" t="s">
        <v>265</v>
      </c>
      <c r="G51" s="311"/>
      <c r="H51" s="369"/>
      <c r="I51" s="312"/>
      <c r="J51" s="312"/>
      <c r="K51" s="312"/>
      <c r="L51" s="313"/>
    </row>
    <row r="53" spans="1:15" ht="24.75" customHeight="1" thickBot="1" x14ac:dyDescent="0.25">
      <c r="A53" s="50" t="s">
        <v>62</v>
      </c>
      <c r="O53" s="32"/>
    </row>
    <row r="54" spans="1:15" ht="24.75" customHeight="1" thickBot="1" x14ac:dyDescent="0.25">
      <c r="A54" s="268" t="s">
        <v>18</v>
      </c>
      <c r="B54" s="269"/>
      <c r="C54" s="269"/>
      <c r="D54" s="269"/>
      <c r="E54" s="269"/>
      <c r="F54" s="326" t="s">
        <v>63</v>
      </c>
      <c r="G54" s="327"/>
      <c r="H54" s="328" t="s">
        <v>64</v>
      </c>
      <c r="I54" s="329"/>
      <c r="J54" s="326" t="s">
        <v>65</v>
      </c>
      <c r="K54" s="330"/>
      <c r="L54" s="330"/>
      <c r="M54" s="330"/>
      <c r="N54" s="331"/>
      <c r="O54" s="32"/>
    </row>
    <row r="55" spans="1:15" ht="66.75" customHeight="1" thickBot="1" x14ac:dyDescent="0.25">
      <c r="A55" s="353" t="s">
        <v>218</v>
      </c>
      <c r="B55" s="354"/>
      <c r="C55" s="354"/>
      <c r="D55" s="354"/>
      <c r="E55" s="354"/>
      <c r="F55" s="355" t="s">
        <v>132</v>
      </c>
      <c r="G55" s="356"/>
      <c r="H55" s="357" t="s">
        <v>217</v>
      </c>
      <c r="I55" s="358"/>
      <c r="J55" s="359" t="s">
        <v>213</v>
      </c>
      <c r="K55" s="360"/>
      <c r="L55" s="360"/>
      <c r="M55" s="360"/>
      <c r="N55" s="361"/>
    </row>
    <row r="56" spans="1:15" ht="13.5" thickBot="1" x14ac:dyDescent="0.25">
      <c r="A56" s="362"/>
      <c r="B56" s="337"/>
      <c r="C56" s="337"/>
      <c r="D56" s="337"/>
      <c r="E56" s="337"/>
      <c r="F56" s="363"/>
      <c r="G56" s="339"/>
      <c r="H56" s="364"/>
      <c r="I56" s="365"/>
      <c r="J56" s="366"/>
      <c r="K56" s="367"/>
      <c r="L56" s="367"/>
      <c r="M56" s="367"/>
      <c r="N56" s="368"/>
    </row>
    <row r="57" spans="1:15" ht="13.5" thickBot="1" x14ac:dyDescent="0.25">
      <c r="A57" s="50" t="s">
        <v>66</v>
      </c>
    </row>
    <row r="58" spans="1:15" ht="13.5" thickBot="1" x14ac:dyDescent="0.25">
      <c r="A58" s="293" t="s">
        <v>18</v>
      </c>
      <c r="B58" s="294"/>
      <c r="C58" s="294"/>
      <c r="D58" s="294"/>
      <c r="E58" s="294"/>
      <c r="F58" s="319" t="s">
        <v>19</v>
      </c>
      <c r="G58" s="320"/>
      <c r="H58" s="319" t="s">
        <v>20</v>
      </c>
      <c r="I58" s="294"/>
      <c r="J58" s="294"/>
      <c r="K58" s="294"/>
      <c r="L58" s="295"/>
    </row>
    <row r="59" spans="1:15" ht="13.5" customHeight="1" thickBot="1" x14ac:dyDescent="0.25">
      <c r="A59" s="314"/>
      <c r="B59" s="315"/>
      <c r="C59" s="315"/>
      <c r="D59" s="315"/>
      <c r="E59" s="315"/>
      <c r="F59" s="343"/>
      <c r="G59" s="344"/>
      <c r="H59" s="347"/>
      <c r="I59" s="345"/>
      <c r="J59" s="345"/>
      <c r="K59" s="345"/>
      <c r="L59" s="346"/>
    </row>
    <row r="60" spans="1:15" ht="32.25" customHeight="1" thickBot="1" x14ac:dyDescent="0.25">
      <c r="A60" s="314"/>
      <c r="B60" s="315"/>
      <c r="C60" s="315"/>
      <c r="D60" s="315"/>
      <c r="E60" s="315"/>
      <c r="F60" s="343"/>
      <c r="G60" s="344"/>
      <c r="H60" s="316"/>
      <c r="I60" s="345"/>
      <c r="J60" s="345"/>
      <c r="K60" s="345"/>
      <c r="L60" s="346"/>
    </row>
    <row r="61" spans="1:15" x14ac:dyDescent="0.2">
      <c r="A61" s="314"/>
      <c r="B61" s="315"/>
      <c r="C61" s="315"/>
      <c r="D61" s="315"/>
      <c r="E61" s="315"/>
      <c r="F61" s="343"/>
      <c r="G61" s="344"/>
      <c r="H61" s="316"/>
      <c r="I61" s="345"/>
      <c r="J61" s="345"/>
      <c r="K61" s="345"/>
      <c r="L61" s="346"/>
    </row>
  </sheetData>
  <mergeCells count="98">
    <mergeCell ref="B14:F14"/>
    <mergeCell ref="G14:K14"/>
    <mergeCell ref="A60:E60"/>
    <mergeCell ref="F60:G60"/>
    <mergeCell ref="H60:L60"/>
    <mergeCell ref="A55:E55"/>
    <mergeCell ref="F55:G55"/>
    <mergeCell ref="H55:I55"/>
    <mergeCell ref="J55:N55"/>
    <mergeCell ref="A56:E56"/>
    <mergeCell ref="F56:G56"/>
    <mergeCell ref="H56:I56"/>
    <mergeCell ref="J56:N56"/>
    <mergeCell ref="A51:E51"/>
    <mergeCell ref="F51:G51"/>
    <mergeCell ref="H51:L51"/>
    <mergeCell ref="A61:E61"/>
    <mergeCell ref="F61:G61"/>
    <mergeCell ref="H61:L61"/>
    <mergeCell ref="A58:E58"/>
    <mergeCell ref="F58:G58"/>
    <mergeCell ref="H58:L58"/>
    <mergeCell ref="A59:E59"/>
    <mergeCell ref="F59:G59"/>
    <mergeCell ref="H59:L59"/>
    <mergeCell ref="A54:E54"/>
    <mergeCell ref="F54:G54"/>
    <mergeCell ref="H54:I54"/>
    <mergeCell ref="J54:N54"/>
    <mergeCell ref="A49:E49"/>
    <mergeCell ref="F49:G49"/>
    <mergeCell ref="H49:L49"/>
    <mergeCell ref="A50:E50"/>
    <mergeCell ref="F50:G50"/>
    <mergeCell ref="H50:L50"/>
    <mergeCell ref="A44:E44"/>
    <mergeCell ref="F44:G44"/>
    <mergeCell ref="H44:L44"/>
    <mergeCell ref="A48:E48"/>
    <mergeCell ref="F48:G48"/>
    <mergeCell ref="H48:L48"/>
    <mergeCell ref="A43:E43"/>
    <mergeCell ref="F43:G43"/>
    <mergeCell ref="H43:L43"/>
    <mergeCell ref="A33:E33"/>
    <mergeCell ref="F33:J33"/>
    <mergeCell ref="A34:E34"/>
    <mergeCell ref="F34:J34"/>
    <mergeCell ref="A38:E38"/>
    <mergeCell ref="F38:J38"/>
    <mergeCell ref="A39:E39"/>
    <mergeCell ref="F39:J39"/>
    <mergeCell ref="A42:E42"/>
    <mergeCell ref="F42:G42"/>
    <mergeCell ref="H42:L42"/>
    <mergeCell ref="A35:E35"/>
    <mergeCell ref="F35:J35"/>
    <mergeCell ref="A28:E28"/>
    <mergeCell ref="F28:J28"/>
    <mergeCell ref="A31:E31"/>
    <mergeCell ref="F31:J31"/>
    <mergeCell ref="A32:E32"/>
    <mergeCell ref="F32:J32"/>
    <mergeCell ref="B22:F22"/>
    <mergeCell ref="G22:K22"/>
    <mergeCell ref="A26:E26"/>
    <mergeCell ref="F26:J26"/>
    <mergeCell ref="A27:E27"/>
    <mergeCell ref="F27:J27"/>
    <mergeCell ref="B21:F21"/>
    <mergeCell ref="G21:K21"/>
    <mergeCell ref="B15:F15"/>
    <mergeCell ref="G15:K15"/>
    <mergeCell ref="B16:F16"/>
    <mergeCell ref="G16:K16"/>
    <mergeCell ref="B17:F17"/>
    <mergeCell ref="G17:K17"/>
    <mergeCell ref="B18:F18"/>
    <mergeCell ref="G18:K18"/>
    <mergeCell ref="B19:F19"/>
    <mergeCell ref="G19:K19"/>
    <mergeCell ref="B20:F20"/>
    <mergeCell ref="A37:E37"/>
    <mergeCell ref="F37:J37"/>
    <mergeCell ref="A36:E36"/>
    <mergeCell ref="F36:J36"/>
    <mergeCell ref="B8:F8"/>
    <mergeCell ref="G8:K8"/>
    <mergeCell ref="B9:F9"/>
    <mergeCell ref="G9:K9"/>
    <mergeCell ref="B10:F10"/>
    <mergeCell ref="G10:K10"/>
    <mergeCell ref="B11:F11"/>
    <mergeCell ref="G11:K11"/>
    <mergeCell ref="B12:F12"/>
    <mergeCell ref="G12:K12"/>
    <mergeCell ref="B13:F13"/>
    <mergeCell ref="G13:K13"/>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Metrics</vt:lpstr>
      <vt:lpstr>Milestones</vt:lpstr>
      <vt:lpstr>Manpower Q117</vt:lpstr>
      <vt:lpstr>Manpower Q217</vt:lpstr>
      <vt:lpstr>Manpower Q317</vt:lpstr>
      <vt:lpstr>Manpower Q417</vt:lpstr>
      <vt:lpstr>Manpower Q118</vt:lpstr>
      <vt:lpstr>Manpower Q218</vt:lpstr>
      <vt:lpstr>Narrative Q117</vt:lpstr>
      <vt:lpstr>Narrative Q217</vt:lpstr>
      <vt:lpstr>Narrative Q317</vt:lpstr>
      <vt:lpstr>Narrative Q417</vt:lpstr>
      <vt:lpstr>Narrative Q118</vt:lpstr>
      <vt:lpstr>Narrative Q218</vt:lpstr>
      <vt:lpstr>EVAL</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2016-05-25T14:55:34Z</cp:lastPrinted>
  <dcterms:created xsi:type="dcterms:W3CDTF">2006-07-17T09:56:01Z</dcterms:created>
  <dcterms:modified xsi:type="dcterms:W3CDTF">2018-10-15T12:20:35Z</dcterms:modified>
</cp:coreProperties>
</file>